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g\Documents\Mária út\MUTKE\Közgyűlés 2018\"/>
    </mc:Choice>
  </mc:AlternateContent>
  <bookViews>
    <workbookView xWindow="0" yWindow="0" windowWidth="19155" windowHeight="7140" firstSheet="3" activeTab="3"/>
  </bookViews>
  <sheets>
    <sheet name="2015" sheetId="1" state="hidden" r:id="rId1"/>
    <sheet name="2016" sheetId="4" state="hidden" r:id="rId2"/>
    <sheet name="2017-PÜ" sheetId="7" state="hidden" r:id="rId3"/>
    <sheet name="2018-PÜ" sheetId="5" r:id="rId4"/>
    <sheet name="2017-11 - 2018-04" sheetId="6" state="hidden" r:id="rId5"/>
  </sheets>
  <calcPr calcId="152511" concurrentCalc="0"/>
</workbook>
</file>

<file path=xl/calcChain.xml><?xml version="1.0" encoding="utf-8"?>
<calcChain xmlns="http://schemas.openxmlformats.org/spreadsheetml/2006/main">
  <c r="P21" i="5" l="1"/>
  <c r="H31" i="5"/>
  <c r="G31" i="5"/>
  <c r="F31" i="5"/>
  <c r="H30" i="5"/>
  <c r="G30" i="5"/>
  <c r="F30" i="5"/>
  <c r="G29" i="5"/>
  <c r="F29" i="5"/>
  <c r="H29" i="5"/>
  <c r="H34" i="5"/>
  <c r="P34" i="5"/>
  <c r="P31" i="5"/>
  <c r="N31" i="5"/>
  <c r="O31" i="5"/>
  <c r="N30" i="5"/>
  <c r="O30" i="5"/>
  <c r="O29" i="5"/>
  <c r="N29" i="5"/>
  <c r="P29" i="5"/>
  <c r="P30" i="5"/>
  <c r="Y8" i="7"/>
  <c r="L56" i="7"/>
  <c r="P56" i="7"/>
  <c r="L41" i="7"/>
  <c r="P41" i="7"/>
  <c r="P42" i="7"/>
  <c r="L57" i="7"/>
  <c r="P57" i="7"/>
  <c r="P58" i="7"/>
  <c r="H56" i="7"/>
  <c r="D57" i="7"/>
  <c r="H57" i="7"/>
  <c r="H58" i="7"/>
  <c r="P59" i="7"/>
  <c r="H59" i="7"/>
  <c r="O57" i="7"/>
  <c r="N57" i="7"/>
  <c r="G57" i="7"/>
  <c r="F57" i="7"/>
  <c r="O56" i="7"/>
  <c r="N56" i="7"/>
  <c r="G56" i="7"/>
  <c r="F56" i="7"/>
  <c r="P43" i="7"/>
  <c r="Y10" i="7"/>
  <c r="Y11" i="7"/>
  <c r="L25" i="7"/>
  <c r="P25" i="7"/>
  <c r="P26" i="7"/>
  <c r="P27" i="7"/>
  <c r="N8" i="7"/>
  <c r="P8" i="7"/>
  <c r="P15" i="7"/>
  <c r="N17" i="7"/>
  <c r="P17" i="7"/>
  <c r="N18" i="7"/>
  <c r="P18" i="7"/>
  <c r="N19" i="7"/>
  <c r="P19" i="7"/>
  <c r="P20" i="7"/>
  <c r="P46" i="7"/>
  <c r="N31" i="7"/>
  <c r="P31" i="7"/>
  <c r="N32" i="7"/>
  <c r="P32" i="7"/>
  <c r="P34" i="7"/>
  <c r="P49" i="7"/>
  <c r="H41" i="7"/>
  <c r="H42" i="7"/>
  <c r="H43" i="7"/>
  <c r="H25" i="7"/>
  <c r="H26" i="7"/>
  <c r="H27" i="7"/>
  <c r="F11" i="7"/>
  <c r="H11" i="7"/>
  <c r="F12" i="7"/>
  <c r="H12" i="7"/>
  <c r="F13" i="7"/>
  <c r="G13" i="7"/>
  <c r="H13" i="7"/>
  <c r="F14" i="7"/>
  <c r="G14" i="7"/>
  <c r="H14" i="7"/>
  <c r="F15" i="7"/>
  <c r="G15" i="7"/>
  <c r="H15" i="7"/>
  <c r="F16" i="7"/>
  <c r="G16" i="7"/>
  <c r="H16" i="7"/>
  <c r="F17" i="7"/>
  <c r="G17" i="7"/>
  <c r="H17" i="7"/>
  <c r="H20" i="7"/>
  <c r="H46" i="7"/>
  <c r="H31" i="7"/>
  <c r="H34" i="7"/>
  <c r="H49" i="7"/>
  <c r="P50" i="7"/>
  <c r="H50" i="7"/>
  <c r="P47" i="7"/>
  <c r="H47" i="7"/>
  <c r="P44" i="7"/>
  <c r="H44" i="7"/>
  <c r="O42" i="7"/>
  <c r="N42" i="7"/>
  <c r="G42" i="7"/>
  <c r="F42" i="7"/>
  <c r="O41" i="7"/>
  <c r="N41" i="7"/>
  <c r="G41" i="7"/>
  <c r="F41" i="7"/>
  <c r="P35" i="7"/>
  <c r="H35" i="7"/>
  <c r="N33" i="7"/>
  <c r="F33" i="7"/>
  <c r="G31" i="7"/>
  <c r="F31" i="7"/>
  <c r="P28" i="7"/>
  <c r="H28" i="7"/>
  <c r="O26" i="7"/>
  <c r="N26" i="7"/>
  <c r="G26" i="7"/>
  <c r="F26" i="7"/>
  <c r="O25" i="7"/>
  <c r="N25" i="7"/>
  <c r="G25" i="7"/>
  <c r="F25" i="7"/>
  <c r="P21" i="7"/>
  <c r="H21" i="7"/>
  <c r="S19" i="7"/>
  <c r="S20" i="7"/>
  <c r="O13" i="7"/>
  <c r="O15" i="7"/>
  <c r="O20" i="7"/>
  <c r="N20" i="7"/>
  <c r="G20" i="7"/>
  <c r="F20" i="7"/>
  <c r="Y9" i="7"/>
  <c r="Y12" i="7"/>
  <c r="Y13" i="7"/>
  <c r="Y19" i="7"/>
  <c r="X19" i="7"/>
  <c r="N10" i="7"/>
  <c r="N11" i="7"/>
  <c r="N12" i="7"/>
  <c r="N13" i="7"/>
  <c r="N14" i="7"/>
  <c r="N15" i="7"/>
  <c r="Y13" i="5"/>
  <c r="L25" i="5"/>
  <c r="P25" i="5"/>
  <c r="Y8" i="5"/>
  <c r="L26" i="5"/>
  <c r="P26" i="5"/>
  <c r="Y11" i="5"/>
  <c r="L27" i="5"/>
  <c r="P27" i="5"/>
  <c r="P35" i="5"/>
  <c r="N8" i="5"/>
  <c r="P8" i="5"/>
  <c r="P15" i="5"/>
  <c r="N17" i="5"/>
  <c r="P17" i="5"/>
  <c r="N18" i="5"/>
  <c r="P18" i="5"/>
  <c r="N19" i="5"/>
  <c r="P19" i="5"/>
  <c r="P20" i="5"/>
  <c r="F11" i="5"/>
  <c r="H11" i="5"/>
  <c r="F12" i="5"/>
  <c r="H12" i="5"/>
  <c r="F13" i="5"/>
  <c r="G13" i="5"/>
  <c r="H13" i="5"/>
  <c r="F14" i="5"/>
  <c r="G14" i="5"/>
  <c r="H14" i="5"/>
  <c r="F15" i="5"/>
  <c r="G15" i="5"/>
  <c r="H15" i="5"/>
  <c r="F16" i="5"/>
  <c r="G16" i="5"/>
  <c r="H16" i="5"/>
  <c r="F17" i="5"/>
  <c r="G17" i="5"/>
  <c r="H17" i="5"/>
  <c r="H20" i="5"/>
  <c r="P46" i="5"/>
  <c r="N39" i="5"/>
  <c r="P39" i="5"/>
  <c r="N40" i="5"/>
  <c r="P40" i="5"/>
  <c r="P41" i="5"/>
  <c r="H38" i="5"/>
  <c r="H39" i="5"/>
  <c r="H41" i="5"/>
  <c r="P42" i="5"/>
  <c r="P49" i="5"/>
  <c r="P45" i="5"/>
  <c r="P48" i="5"/>
  <c r="H21" i="5"/>
  <c r="H45" i="5"/>
  <c r="G39" i="5"/>
  <c r="F39" i="5"/>
  <c r="N27" i="5"/>
  <c r="Y9" i="5"/>
  <c r="Y10" i="5"/>
  <c r="C12" i="6"/>
  <c r="L7" i="6"/>
  <c r="I7" i="6"/>
  <c r="I6" i="6"/>
  <c r="F7" i="6"/>
  <c r="F6" i="6"/>
  <c r="C7" i="6"/>
  <c r="C6" i="6"/>
  <c r="I5" i="6"/>
  <c r="F5" i="6"/>
  <c r="C5" i="6"/>
  <c r="L56" i="6"/>
  <c r="C68" i="6"/>
  <c r="C67" i="6"/>
  <c r="C66" i="6"/>
  <c r="C65" i="6"/>
  <c r="C70" i="6"/>
  <c r="C50" i="6"/>
  <c r="N20" i="5"/>
  <c r="S19" i="5"/>
  <c r="S20" i="5"/>
  <c r="O13" i="5"/>
  <c r="O15" i="5"/>
  <c r="O20" i="5"/>
  <c r="N26" i="5"/>
  <c r="O25" i="5"/>
  <c r="N25" i="5"/>
  <c r="H48" i="5"/>
  <c r="X19" i="5"/>
  <c r="Y19" i="5"/>
  <c r="G20" i="5"/>
  <c r="F20" i="5"/>
  <c r="N10" i="5"/>
  <c r="N11" i="5"/>
  <c r="N12" i="5"/>
  <c r="N13" i="5"/>
  <c r="N14" i="5"/>
  <c r="N15" i="5"/>
  <c r="G38" i="5"/>
  <c r="F38" i="5"/>
  <c r="P46" i="4"/>
  <c r="O46" i="4"/>
  <c r="N46" i="4"/>
  <c r="P36" i="4"/>
  <c r="N19" i="4"/>
  <c r="P19" i="4"/>
  <c r="P20" i="4"/>
  <c r="N16" i="4"/>
  <c r="P16" i="4"/>
  <c r="L17" i="4"/>
  <c r="N17" i="4"/>
  <c r="P17" i="4"/>
  <c r="N18" i="4"/>
  <c r="P18" i="4"/>
  <c r="P21" i="4"/>
  <c r="N21" i="4"/>
  <c r="N8" i="4"/>
  <c r="P8" i="4"/>
  <c r="N9" i="4"/>
  <c r="P9" i="4"/>
  <c r="N10" i="4"/>
  <c r="P10" i="4"/>
  <c r="N11" i="4"/>
  <c r="P11" i="4"/>
  <c r="O12" i="4"/>
  <c r="N12" i="4"/>
  <c r="P12" i="4"/>
  <c r="N13" i="4"/>
  <c r="P13" i="4"/>
  <c r="P14" i="4"/>
  <c r="P22" i="4"/>
  <c r="N14" i="4"/>
  <c r="N22" i="4"/>
  <c r="H36" i="4"/>
  <c r="O14" i="4"/>
  <c r="Q18" i="4"/>
  <c r="P35" i="4"/>
  <c r="N40" i="4"/>
  <c r="O40" i="4"/>
  <c r="P40" i="4"/>
  <c r="N41" i="4"/>
  <c r="O41" i="4"/>
  <c r="P41" i="4"/>
  <c r="O42" i="4"/>
  <c r="P42" i="4"/>
  <c r="P39" i="4"/>
  <c r="O39" i="4"/>
  <c r="N39" i="4"/>
  <c r="F35" i="4"/>
  <c r="G35" i="4"/>
  <c r="F30" i="4"/>
  <c r="G30" i="4"/>
  <c r="H30" i="4"/>
  <c r="F31" i="4"/>
  <c r="G31" i="4"/>
  <c r="H31" i="4"/>
  <c r="F32" i="4"/>
  <c r="G32" i="4"/>
  <c r="H32" i="4"/>
  <c r="G39" i="4"/>
  <c r="H39" i="4"/>
  <c r="H46" i="4"/>
  <c r="G46" i="4"/>
  <c r="F46" i="4"/>
  <c r="F10" i="4"/>
  <c r="H10" i="4"/>
  <c r="F11" i="4"/>
  <c r="H11" i="4"/>
  <c r="F12" i="4"/>
  <c r="G12" i="4"/>
  <c r="H12" i="4"/>
  <c r="F13" i="4"/>
  <c r="G13" i="4"/>
  <c r="H13" i="4"/>
  <c r="F14" i="4"/>
  <c r="G14" i="4"/>
  <c r="H14" i="4"/>
  <c r="F15" i="4"/>
  <c r="G15" i="4"/>
  <c r="H15" i="4"/>
  <c r="F16" i="4"/>
  <c r="G16" i="4"/>
  <c r="H16" i="4"/>
  <c r="H17" i="4"/>
  <c r="H22" i="4"/>
  <c r="G17" i="4"/>
  <c r="G22" i="4"/>
  <c r="F17" i="4"/>
  <c r="F22" i="4"/>
  <c r="F24" i="4"/>
  <c r="O22" i="4"/>
  <c r="N17" i="1"/>
  <c r="N14" i="1"/>
  <c r="N16" i="1"/>
  <c r="N18" i="1"/>
  <c r="P18" i="1"/>
  <c r="N8" i="1"/>
  <c r="P8" i="1"/>
  <c r="N9" i="1"/>
  <c r="P9" i="1"/>
  <c r="N10" i="1"/>
  <c r="P10" i="1"/>
  <c r="N11" i="1"/>
  <c r="P11" i="1"/>
  <c r="P12" i="1"/>
  <c r="P21" i="1"/>
  <c r="N12" i="1"/>
  <c r="N21" i="1"/>
  <c r="D10" i="1"/>
  <c r="F10" i="1"/>
  <c r="F11" i="1"/>
  <c r="F12" i="1"/>
  <c r="F13" i="1"/>
  <c r="F14" i="1"/>
  <c r="F15" i="1"/>
  <c r="F16" i="1"/>
  <c r="F17" i="1"/>
  <c r="F21" i="1"/>
  <c r="F23" i="1"/>
  <c r="P17" i="1"/>
  <c r="O12" i="1"/>
  <c r="G12" i="1"/>
  <c r="G13" i="1"/>
  <c r="G14" i="1"/>
  <c r="G15" i="1"/>
  <c r="G16" i="1"/>
  <c r="G17" i="1"/>
  <c r="G21" i="1"/>
  <c r="P14" i="1"/>
  <c r="P16" i="1"/>
  <c r="O21" i="1"/>
  <c r="H10" i="1"/>
  <c r="H11" i="1"/>
  <c r="H12" i="1"/>
  <c r="H13" i="1"/>
  <c r="H14" i="1"/>
  <c r="H15" i="1"/>
  <c r="H16" i="1"/>
  <c r="H17" i="1"/>
  <c r="H21" i="1"/>
  <c r="O46" i="1"/>
  <c r="G46" i="1"/>
  <c r="H46" i="1"/>
  <c r="N43" i="1"/>
  <c r="O43" i="1"/>
  <c r="P43" i="1"/>
  <c r="N42" i="1"/>
  <c r="O42" i="1"/>
  <c r="P42" i="1"/>
  <c r="N41" i="1"/>
  <c r="P46" i="1"/>
  <c r="O41" i="1"/>
  <c r="P41" i="1"/>
  <c r="G41" i="1"/>
  <c r="H41" i="1"/>
  <c r="N39" i="1"/>
  <c r="O39" i="1"/>
  <c r="P39" i="1"/>
  <c r="N38" i="1"/>
  <c r="O38" i="1"/>
  <c r="G38" i="1"/>
  <c r="H38" i="1"/>
  <c r="G35" i="1"/>
  <c r="O33" i="1"/>
  <c r="O32" i="1"/>
  <c r="P31" i="1"/>
  <c r="O31" i="1"/>
  <c r="N31" i="1"/>
  <c r="O30" i="1"/>
  <c r="O29" i="1"/>
  <c r="O28" i="1"/>
  <c r="F33" i="1"/>
  <c r="H33" i="1"/>
  <c r="P33" i="1"/>
  <c r="F32" i="1"/>
  <c r="H32" i="1"/>
  <c r="P32" i="1"/>
  <c r="F29" i="1"/>
  <c r="N29" i="1"/>
  <c r="F28" i="1"/>
  <c r="H28" i="1"/>
  <c r="P28" i="1"/>
  <c r="D30" i="1"/>
  <c r="F30" i="1"/>
  <c r="O35" i="1"/>
  <c r="O37" i="1"/>
  <c r="O48" i="1"/>
  <c r="N28" i="1"/>
  <c r="N32" i="1"/>
  <c r="N30" i="1"/>
  <c r="H30" i="1"/>
  <c r="P30" i="1"/>
  <c r="P38" i="1"/>
  <c r="P37" i="1"/>
  <c r="F35" i="1"/>
  <c r="F48" i="1"/>
  <c r="F50" i="1"/>
  <c r="N37" i="1"/>
  <c r="H29" i="1"/>
  <c r="N33" i="1"/>
  <c r="N35" i="1"/>
  <c r="N48" i="1"/>
  <c r="G48" i="1"/>
  <c r="G50" i="1"/>
  <c r="P29" i="1"/>
  <c r="P35" i="1"/>
  <c r="P48" i="1"/>
  <c r="H35" i="1"/>
  <c r="H48" i="1"/>
  <c r="H50" i="1"/>
  <c r="Q17" i="1"/>
</calcChain>
</file>

<file path=xl/comments1.xml><?xml version="1.0" encoding="utf-8"?>
<comments xmlns="http://schemas.openxmlformats.org/spreadsheetml/2006/main">
  <authors>
    <author>sodi</author>
  </authors>
  <commentList>
    <comment ref="Y20" authorId="0" shapeId="0">
      <text>
        <r>
          <rPr>
            <b/>
            <sz val="9"/>
            <color indexed="81"/>
            <rFont val="Tahoma"/>
            <charset val="1"/>
          </rPr>
          <t>sodi: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<sst xmlns="http://schemas.openxmlformats.org/spreadsheetml/2006/main" count="568" uniqueCount="204">
  <si>
    <t>2015 évi költségvetés tervezet</t>
  </si>
  <si>
    <t>Kiadások</t>
  </si>
  <si>
    <t>Munkabér</t>
  </si>
  <si>
    <t>havi költség</t>
  </si>
  <si>
    <t>db / hónap</t>
  </si>
  <si>
    <t>tétel</t>
  </si>
  <si>
    <t>részletes tétel</t>
  </si>
  <si>
    <t>nettó</t>
  </si>
  <si>
    <t>Áfa</t>
  </si>
  <si>
    <t>Bruttó</t>
  </si>
  <si>
    <t>Éves költség</t>
  </si>
  <si>
    <t>nettó költség</t>
  </si>
  <si>
    <t>Könyvelési díj</t>
  </si>
  <si>
    <t>Költség térítés</t>
  </si>
  <si>
    <t>Bevételek</t>
  </si>
  <si>
    <t>Állandó kiadások</t>
  </si>
  <si>
    <t>Állandó bevételek</t>
  </si>
  <si>
    <t>Projekt bevételek</t>
  </si>
  <si>
    <t>tagdíjak</t>
  </si>
  <si>
    <t>éves díj</t>
  </si>
  <si>
    <t>áfa</t>
  </si>
  <si>
    <t>bruttó</t>
  </si>
  <si>
    <t>Éves bevétel</t>
  </si>
  <si>
    <t>rendszeres tartós közérdekű támogatások</t>
  </si>
  <si>
    <t>fő / db</t>
  </si>
  <si>
    <t>Rendszeres kiadások összesen</t>
  </si>
  <si>
    <t>Irodaszer költségek</t>
  </si>
  <si>
    <t>Jelzésfestés alapanyagok</t>
  </si>
  <si>
    <t>Projekt kiadások</t>
  </si>
  <si>
    <t>TAMOP 141</t>
  </si>
  <si>
    <t>3 pályakezdő alkalmazásának támogatása</t>
  </si>
  <si>
    <t>kapcsolódó költségek</t>
  </si>
  <si>
    <t>bér</t>
  </si>
  <si>
    <t>járulék</t>
  </si>
  <si>
    <t>Egyszeri közérdekű támogatás</t>
  </si>
  <si>
    <t>3 pályakezdő alkalmazásának  fenntartása</t>
  </si>
  <si>
    <t>TAMOP 141 finanszírozás</t>
  </si>
  <si>
    <t>TAMOP 141 összesen</t>
  </si>
  <si>
    <t>Egyéb költségek</t>
  </si>
  <si>
    <t>Bank</t>
  </si>
  <si>
    <t>TAMOP Bevételek összesen</t>
  </si>
  <si>
    <t>EMOP</t>
  </si>
  <si>
    <t>projekt végrehajtási költségek</t>
  </si>
  <si>
    <t>Utófianaszírozás</t>
  </si>
  <si>
    <t>Tartós közérdekű támogatás</t>
  </si>
  <si>
    <t>DDOP</t>
  </si>
  <si>
    <t>1 uton LEADER</t>
  </si>
  <si>
    <t>Projekt végrehatási költségek</t>
  </si>
  <si>
    <t>MVH Leader utófinanszírozás</t>
  </si>
  <si>
    <t>Projekt kiadások összesen</t>
  </si>
  <si>
    <t>Projekt bevételek összesen</t>
  </si>
  <si>
    <t>Bevételek összesen</t>
  </si>
  <si>
    <t>Kiadások összesen</t>
  </si>
  <si>
    <t>Kiadások MINDÖSSZEN</t>
  </si>
  <si>
    <t>- Önkormányzatok</t>
  </si>
  <si>
    <t>- Magánszemélyek</t>
  </si>
  <si>
    <t>alapdíj</t>
  </si>
  <si>
    <t>kiegészítő díj (1 Ft / fő)</t>
  </si>
  <si>
    <t>maximum</t>
  </si>
  <si>
    <t>Szerződött támogatások</t>
  </si>
  <si>
    <t>Tagdíjak - Összesen</t>
  </si>
  <si>
    <t>Egyéb bevételek összesen</t>
  </si>
  <si>
    <t>Tervezett támogatások</t>
  </si>
  <si>
    <t>TERVEZETT EGYENLEG</t>
  </si>
  <si>
    <t>MUTKE 2016 évi költségvetés tervezet</t>
  </si>
  <si>
    <t>Munkabér (4+1 fő)</t>
  </si>
  <si>
    <t>Egyéb bevételek</t>
  </si>
  <si>
    <t>Előleg visszafizetés</t>
  </si>
  <si>
    <t>Projekt menedzsment (2 fő + autohasználat)</t>
  </si>
  <si>
    <t>Hálózat szervezés (1 fő + autohasználat)</t>
  </si>
  <si>
    <t>Irodai és egyéb költségek</t>
  </si>
  <si>
    <t>Projekt előkészítés (ZTN + MTDMSZ) (GINOP, EFOP, EU kult utak, …)</t>
  </si>
  <si>
    <t>EFOP</t>
  </si>
  <si>
    <t>Nagyrendezvények (Mária Maraton és 1 uton)</t>
  </si>
  <si>
    <t>EMMI (sportért felelős államtitkárság) - tervezett</t>
  </si>
  <si>
    <t>Eszközök, szolgáltatások</t>
  </si>
  <si>
    <t>2016 bővítés</t>
  </si>
  <si>
    <t>Alap + kieg</t>
  </si>
  <si>
    <t>munkadíjak - MUTKE közvetlen költségelszámolás</t>
  </si>
  <si>
    <t>EU kulturális utak csatlakozás (Volkra Ottó János Alapítvány)</t>
  </si>
  <si>
    <t>EMMI támogatás (Volkra a kedvezményezett)</t>
  </si>
  <si>
    <t>Tervezett közvetlen támogatások</t>
  </si>
  <si>
    <t>Szakmai szolgáltatás</t>
  </si>
  <si>
    <t>NFM támogatás nagyrendezvények</t>
  </si>
  <si>
    <t>NFM közvetlen támogatás tervezett</t>
  </si>
  <si>
    <t>Mária Maraton NFM</t>
  </si>
  <si>
    <t>Mária Maraton</t>
  </si>
  <si>
    <t>Támogatások</t>
  </si>
  <si>
    <t>Bér és járulék</t>
  </si>
  <si>
    <t>Dologi kiadás</t>
  </si>
  <si>
    <t>Rendszeres bevéltelek összesen</t>
  </si>
  <si>
    <t>MEMO</t>
  </si>
  <si>
    <t>Név</t>
  </si>
  <si>
    <t>Projekt</t>
  </si>
  <si>
    <t>Dátum tól -ig</t>
  </si>
  <si>
    <t>fő / munkaidő</t>
  </si>
  <si>
    <t>MUTKE</t>
  </si>
  <si>
    <t>Járulék</t>
  </si>
  <si>
    <t>munkakör</t>
  </si>
  <si>
    <t>önk. Koord</t>
  </si>
  <si>
    <t>Maraton koord.</t>
  </si>
  <si>
    <t>1Uton szervez</t>
  </si>
  <si>
    <t xml:space="preserve">Mária Maraton </t>
  </si>
  <si>
    <t>Németh Dominika</t>
  </si>
  <si>
    <t>Katona Ildikó</t>
  </si>
  <si>
    <t>gyes</t>
  </si>
  <si>
    <t>Sóskuti Varga Gergő</t>
  </si>
  <si>
    <t>Gne Zsófia</t>
  </si>
  <si>
    <t>Holluby András</t>
  </si>
  <si>
    <t>ÖSSZESEN</t>
  </si>
  <si>
    <t>Pályázatok</t>
  </si>
  <si>
    <t>Összesen</t>
  </si>
  <si>
    <t>Eredmény</t>
  </si>
  <si>
    <t>Tervezett rendezvény költségek</t>
  </si>
  <si>
    <t>FIX EREDMÉNY</t>
  </si>
  <si>
    <t>FIX - TERVEZETT ÖSSZESEN</t>
  </si>
  <si>
    <t>FIX ÖSSZESEN</t>
  </si>
  <si>
    <t>FIX - TERVEZETT EREDMÉNY</t>
  </si>
  <si>
    <t>HR helyzet áttekintése</t>
  </si>
  <si>
    <t>MUTKE 2017 évi költségvetés tervezet</t>
  </si>
  <si>
    <t>megbízási 
szerz</t>
  </si>
  <si>
    <t>rendkívüli közérdekű támogatás</t>
  </si>
  <si>
    <t>heti munkaóra</t>
  </si>
  <si>
    <t>statisztikai létszám</t>
  </si>
  <si>
    <t>Bruttó bér</t>
  </si>
  <si>
    <t>- Önkormányzatok terv</t>
  </si>
  <si>
    <t>- Önkormányzatok TÉNY</t>
  </si>
  <si>
    <t>Holluby Andás</t>
  </si>
  <si>
    <t>Dr. Sóskuti-Varga Gergely</t>
  </si>
  <si>
    <t>Makai Viktória</t>
  </si>
  <si>
    <t>SZJA</t>
  </si>
  <si>
    <t>Nyugdíjbiztosítási alapba fizetendő</t>
  </si>
  <si>
    <t>Szociális hozzájárulási adó</t>
  </si>
  <si>
    <t>Egézségbitzosítási és munkaerő-piaci alapba fizetendő</t>
  </si>
  <si>
    <t>NAV SZJA</t>
  </si>
  <si>
    <t>MUTKE Főszámla</t>
  </si>
  <si>
    <t>Komfort Befektető kft.</t>
  </si>
  <si>
    <t>Mária Rádió Nonprofit Kft.</t>
  </si>
  <si>
    <t>Ft</t>
  </si>
  <si>
    <t>SZJA Magánszemélytől levont</t>
  </si>
  <si>
    <t>KH költségek</t>
  </si>
  <si>
    <t>Havi költségek 08 és 09 hó</t>
  </si>
  <si>
    <t>Nahiminé Deák Andrea</t>
  </si>
  <si>
    <t>Galgócziné Dr. Szabó Zsófia</t>
  </si>
  <si>
    <t>Deák Andrea KATA 130 / 3</t>
  </si>
  <si>
    <t>Dr. Sóskuti-Varga Gergely - 20 óra</t>
  </si>
  <si>
    <t>Havi költségek 2017-12 hó</t>
  </si>
  <si>
    <t xml:space="preserve">Havi költségek 2017-11 hó  </t>
  </si>
  <si>
    <t>EFOP 522 MUTKE indul</t>
  </si>
  <si>
    <t>EFOP 522 VOJ indul</t>
  </si>
  <si>
    <t>MUTKE EFOP 135 szla</t>
  </si>
  <si>
    <t>MUTKE EFOP 522 számla</t>
  </si>
  <si>
    <t>MUTKE EMMI számla</t>
  </si>
  <si>
    <t>VOJ EFOP 522 számla</t>
  </si>
  <si>
    <t>FONTOS VSG Túl van fizetve / hó</t>
  </si>
  <si>
    <t>FONTOS az 135-ben van utazási 
költség térítés / 24 hó</t>
  </si>
  <si>
    <t>Kiadások áttekintése</t>
  </si>
  <si>
    <t>11 hó</t>
  </si>
  <si>
    <t>08 és 09 hó / hó</t>
  </si>
  <si>
    <t>időszak</t>
  </si>
  <si>
    <t>rendszeres költség összesen</t>
  </si>
  <si>
    <t>12 hó-tól 1 évig</t>
  </si>
  <si>
    <t>Estreg Granum</t>
  </si>
  <si>
    <t>fedezettség - 4 hó</t>
  </si>
  <si>
    <t>VSG túlfizetés</t>
  </si>
  <si>
    <t>??? A felmerülő kp költségeket lehet belőle fizetni ???</t>
  </si>
  <si>
    <t>???</t>
  </si>
  <si>
    <t>KIADÁSOK RÉSZLETEZÉSE</t>
  </si>
  <si>
    <t>FM egyedi támogatás</t>
  </si>
  <si>
    <t>EFOP -522</t>
  </si>
  <si>
    <t>EFOP-135</t>
  </si>
  <si>
    <t>Munkabér (4+2 (gyes) fő)</t>
  </si>
  <si>
    <t>asszisztens</t>
  </si>
  <si>
    <t>FM egyedi</t>
  </si>
  <si>
    <t>EFOP 5.2.2</t>
  </si>
  <si>
    <t>Pályázatok támogatások</t>
  </si>
  <si>
    <t>1uton</t>
  </si>
  <si>
    <t>Szerződött költségek</t>
  </si>
  <si>
    <t> 2018-10-31</t>
  </si>
  <si>
    <t>EFOP -135</t>
  </si>
  <si>
    <t>Deak Andrea</t>
  </si>
  <si>
    <t>EMMI 1uton</t>
  </si>
  <si>
    <t>Viki</t>
  </si>
  <si>
    <t>Rendezvény költségek</t>
  </si>
  <si>
    <t>Rendezvény támogatások</t>
  </si>
  <si>
    <t>Szerződött rendezvény költségek</t>
  </si>
  <si>
    <t>1 UTON</t>
  </si>
  <si>
    <t>1UTON EMMI</t>
  </si>
  <si>
    <t>Mária Maraton Szerencsjáték Zrt.</t>
  </si>
  <si>
    <t>Szállás étkezés (Pannon Pilgrim utazási iroda)</t>
  </si>
  <si>
    <t>Révételi díj (Pannon Pilgrim utazási iroda)</t>
  </si>
  <si>
    <t>Futó Pályázatok</t>
  </si>
  <si>
    <t>EFOP-135 - 2017</t>
  </si>
  <si>
    <t>Dologi kadás</t>
  </si>
  <si>
    <t>Pályázatok kihatása a további évekre</t>
  </si>
  <si>
    <t>EFOP-135 - 2017 után</t>
  </si>
  <si>
    <t>FIX + TERVEZETT ÖSSZESEN</t>
  </si>
  <si>
    <t>FIX + TERVEZETT EREDMÉNY</t>
  </si>
  <si>
    <t>Felkutatandó támogatás</t>
  </si>
  <si>
    <t>Projekt megvalósítás költségei</t>
  </si>
  <si>
    <t>EFOP 1.3.5</t>
  </si>
  <si>
    <t>EMMI 1uton (TSZ kötés alatt)</t>
  </si>
  <si>
    <t>Rendezvények</t>
  </si>
  <si>
    <t>MUTKE 2018 évi költségvetés tervezet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</si>
</sst>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#,##0\ &quot;Ft&quot;"/>
    <numFmt numFmtId="165" formatCode="_-* #,##0\ _F_t_-;\-* #,##0\ _F_t_-;_-* &quot;-&quot;??\ _F_t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0000"/>
      <name val="Calibri"/>
      <family val="2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46">
    <xf numFmtId="0" fontId="0" fillId="0" borderId="0" xfId="0"/>
    <xf numFmtId="164" fontId="0" fillId="0" borderId="0" xfId="0" applyNumberFormat="1"/>
    <xf numFmtId="3" fontId="0" fillId="0" borderId="0" xfId="0" applyNumberFormat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0" fillId="0" borderId="1" xfId="0" applyFont="1" applyBorder="1"/>
    <xf numFmtId="164" fontId="1" fillId="0" borderId="1" xfId="0" applyNumberFormat="1" applyFon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164" fontId="0" fillId="0" borderId="6" xfId="0" applyNumberFormat="1" applyBorder="1"/>
    <xf numFmtId="164" fontId="0" fillId="0" borderId="7" xfId="0" applyNumberForma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0" fontId="1" fillId="0" borderId="4" xfId="0" applyFont="1" applyBorder="1"/>
    <xf numFmtId="0" fontId="0" fillId="0" borderId="2" xfId="0" applyBorder="1"/>
    <xf numFmtId="3" fontId="0" fillId="0" borderId="2" xfId="0" applyNumberForma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9" xfId="0" applyBorder="1"/>
    <xf numFmtId="3" fontId="0" fillId="0" borderId="9" xfId="0" applyNumberFormat="1" applyBorder="1" applyAlignment="1">
      <alignment horizontal="center"/>
    </xf>
    <xf numFmtId="0" fontId="4" fillId="0" borderId="2" xfId="0" applyFont="1" applyBorder="1"/>
    <xf numFmtId="0" fontId="2" fillId="0" borderId="8" xfId="0" applyFont="1" applyBorder="1"/>
    <xf numFmtId="164" fontId="3" fillId="0" borderId="8" xfId="0" applyNumberFormat="1" applyFont="1" applyBorder="1"/>
    <xf numFmtId="164" fontId="0" fillId="0" borderId="1" xfId="0" applyNumberFormat="1" applyFont="1" applyBorder="1"/>
    <xf numFmtId="0" fontId="0" fillId="0" borderId="11" xfId="0" applyBorder="1"/>
    <xf numFmtId="3" fontId="0" fillId="0" borderId="11" xfId="0" applyNumberFormat="1" applyBorder="1" applyAlignment="1">
      <alignment horizontal="center"/>
    </xf>
    <xf numFmtId="0" fontId="2" fillId="0" borderId="3" xfId="0" applyFont="1" applyBorder="1"/>
    <xf numFmtId="3" fontId="0" fillId="0" borderId="4" xfId="0" applyNumberFormat="1" applyBorder="1" applyAlignment="1">
      <alignment horizontal="center"/>
    </xf>
    <xf numFmtId="0" fontId="1" fillId="0" borderId="6" xfId="0" applyFont="1" applyBorder="1"/>
    <xf numFmtId="164" fontId="1" fillId="0" borderId="7" xfId="0" applyNumberFormat="1" applyFont="1" applyBorder="1"/>
    <xf numFmtId="164" fontId="3" fillId="0" borderId="3" xfId="0" applyNumberFormat="1" applyFont="1" applyBorder="1"/>
    <xf numFmtId="164" fontId="1" fillId="0" borderId="6" xfId="0" applyNumberFormat="1" applyFont="1" applyBorder="1"/>
    <xf numFmtId="164" fontId="0" fillId="0" borderId="7" xfId="0" applyNumberFormat="1" applyFont="1" applyBorder="1"/>
    <xf numFmtId="164" fontId="0" fillId="0" borderId="0" xfId="0" applyNumberFormat="1" applyBorder="1"/>
    <xf numFmtId="0" fontId="6" fillId="0" borderId="1" xfId="0" applyFont="1" applyBorder="1"/>
    <xf numFmtId="3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7" fillId="0" borderId="0" xfId="0" applyFont="1"/>
    <xf numFmtId="3" fontId="7" fillId="0" borderId="0" xfId="0" applyNumberFormat="1" applyFont="1" applyAlignment="1">
      <alignment horizontal="center"/>
    </xf>
    <xf numFmtId="164" fontId="7" fillId="0" borderId="0" xfId="0" applyNumberFormat="1" applyFont="1"/>
    <xf numFmtId="0" fontId="0" fillId="0" borderId="1" xfId="0" quotePrefix="1" applyBorder="1"/>
    <xf numFmtId="164" fontId="0" fillId="0" borderId="12" xfId="0" applyNumberFormat="1" applyBorder="1"/>
    <xf numFmtId="0" fontId="0" fillId="0" borderId="13" xfId="0" applyBorder="1"/>
    <xf numFmtId="0" fontId="8" fillId="0" borderId="0" xfId="0" applyFont="1"/>
    <xf numFmtId="3" fontId="8" fillId="0" borderId="0" xfId="0" applyNumberFormat="1" applyFont="1" applyAlignment="1">
      <alignment horizontal="center"/>
    </xf>
    <xf numFmtId="164" fontId="8" fillId="0" borderId="0" xfId="0" applyNumberFormat="1" applyFont="1"/>
    <xf numFmtId="0" fontId="2" fillId="0" borderId="1" xfId="0" applyFont="1" applyBorder="1"/>
    <xf numFmtId="0" fontId="5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/>
    <xf numFmtId="164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164" fontId="9" fillId="0" borderId="1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0" fontId="0" fillId="0" borderId="6" xfId="0" applyFont="1" applyBorder="1"/>
    <xf numFmtId="164" fontId="9" fillId="0" borderId="6" xfId="0" applyNumberFormat="1" applyFont="1" applyBorder="1"/>
    <xf numFmtId="3" fontId="0" fillId="0" borderId="1" xfId="0" applyNumberFormat="1" applyFont="1" applyBorder="1" applyAlignment="1">
      <alignment horizontal="center"/>
    </xf>
    <xf numFmtId="164" fontId="9" fillId="0" borderId="7" xfId="0" applyNumberFormat="1" applyFont="1" applyBorder="1"/>
    <xf numFmtId="164" fontId="10" fillId="0" borderId="1" xfId="0" applyNumberFormat="1" applyFont="1" applyBorder="1"/>
    <xf numFmtId="0" fontId="10" fillId="0" borderId="1" xfId="0" applyFont="1" applyBorder="1"/>
    <xf numFmtId="3" fontId="10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0" fillId="0" borderId="0" xfId="0" applyBorder="1"/>
    <xf numFmtId="3" fontId="0" fillId="0" borderId="0" xfId="0" applyNumberFormat="1" applyBorder="1" applyAlignment="1">
      <alignment horizontal="center"/>
    </xf>
    <xf numFmtId="164" fontId="3" fillId="0" borderId="0" xfId="0" applyNumberFormat="1" applyFont="1" applyBorder="1"/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/>
    <xf numFmtId="164" fontId="1" fillId="0" borderId="0" xfId="0" applyNumberFormat="1" applyFont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5" fillId="0" borderId="0" xfId="0" applyFont="1"/>
    <xf numFmtId="0" fontId="1" fillId="0" borderId="1" xfId="0" applyFont="1" applyFill="1" applyBorder="1"/>
    <xf numFmtId="14" fontId="0" fillId="0" borderId="1" xfId="0" applyNumberForma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8" fillId="0" borderId="0" xfId="0" applyFont="1" applyBorder="1"/>
    <xf numFmtId="3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/>
    <xf numFmtId="0" fontId="2" fillId="0" borderId="0" xfId="0" applyFont="1" applyBorder="1"/>
    <xf numFmtId="164" fontId="9" fillId="0" borderId="0" xfId="0" applyNumberFormat="1" applyFont="1" applyBorder="1"/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Font="1" applyBorder="1"/>
    <xf numFmtId="3" fontId="2" fillId="0" borderId="0" xfId="0" applyNumberFormat="1" applyFont="1" applyBorder="1" applyAlignment="1">
      <alignment horizontal="center"/>
    </xf>
    <xf numFmtId="0" fontId="16" fillId="0" borderId="1" xfId="0" applyFont="1" applyBorder="1"/>
    <xf numFmtId="164" fontId="16" fillId="0" borderId="1" xfId="0" applyNumberFormat="1" applyFont="1" applyBorder="1"/>
    <xf numFmtId="3" fontId="16" fillId="0" borderId="1" xfId="0" applyNumberFormat="1" applyFont="1" applyBorder="1" applyAlignment="1">
      <alignment horizontal="center"/>
    </xf>
    <xf numFmtId="164" fontId="12" fillId="0" borderId="1" xfId="0" applyNumberFormat="1" applyFont="1" applyBorder="1"/>
    <xf numFmtId="164" fontId="16" fillId="0" borderId="0" xfId="0" applyNumberFormat="1" applyFont="1"/>
    <xf numFmtId="3" fontId="12" fillId="0" borderId="1" xfId="0" applyNumberFormat="1" applyFont="1" applyBorder="1" applyAlignment="1">
      <alignment horizontal="center"/>
    </xf>
    <xf numFmtId="164" fontId="12" fillId="0" borderId="0" xfId="0" applyNumberFormat="1" applyFont="1"/>
    <xf numFmtId="0" fontId="17" fillId="0" borderId="1" xfId="0" applyFont="1" applyBorder="1"/>
    <xf numFmtId="164" fontId="17" fillId="0" borderId="1" xfId="0" applyNumberFormat="1" applyFont="1" applyBorder="1"/>
    <xf numFmtId="3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4" fontId="11" fillId="0" borderId="1" xfId="0" applyNumberFormat="1" applyFont="1" applyBorder="1"/>
    <xf numFmtId="3" fontId="11" fillId="0" borderId="1" xfId="0" applyNumberFormat="1" applyFont="1" applyBorder="1" applyAlignment="1">
      <alignment horizontal="center"/>
    </xf>
    <xf numFmtId="43" fontId="19" fillId="0" borderId="0" xfId="1" applyFont="1"/>
    <xf numFmtId="165" fontId="0" fillId="0" borderId="0" xfId="0" applyNumberFormat="1"/>
    <xf numFmtId="0" fontId="1" fillId="0" borderId="0" xfId="0" applyFont="1"/>
    <xf numFmtId="0" fontId="1" fillId="2" borderId="0" xfId="0" applyFont="1" applyFill="1"/>
    <xf numFmtId="0" fontId="0" fillId="0" borderId="1" xfId="0" applyBorder="1" applyAlignment="1">
      <alignment horizontal="left"/>
    </xf>
    <xf numFmtId="165" fontId="19" fillId="0" borderId="1" xfId="1" applyNumberFormat="1" applyFont="1" applyBorder="1"/>
    <xf numFmtId="43" fontId="19" fillId="0" borderId="1" xfId="1" applyFont="1" applyBorder="1"/>
    <xf numFmtId="165" fontId="0" fillId="0" borderId="1" xfId="0" applyNumberFormat="1" applyBorder="1"/>
    <xf numFmtId="0" fontId="0" fillId="0" borderId="0" xfId="0" applyBorder="1" applyAlignment="1">
      <alignment horizontal="left"/>
    </xf>
    <xf numFmtId="165" fontId="19" fillId="0" borderId="0" xfId="1" applyNumberFormat="1" applyFont="1" applyBorder="1"/>
    <xf numFmtId="0" fontId="1" fillId="0" borderId="0" xfId="0" applyFont="1" applyFill="1"/>
    <xf numFmtId="165" fontId="19" fillId="2" borderId="1" xfId="1" applyNumberFormat="1" applyFont="1" applyFill="1" applyBorder="1"/>
    <xf numFmtId="0" fontId="2" fillId="0" borderId="0" xfId="0" applyFont="1" applyAlignment="1">
      <alignment wrapText="1"/>
    </xf>
    <xf numFmtId="165" fontId="2" fillId="0" borderId="0" xfId="0" applyNumberFormat="1" applyFont="1"/>
    <xf numFmtId="0" fontId="2" fillId="0" borderId="0" xfId="0" applyFont="1"/>
    <xf numFmtId="43" fontId="1" fillId="0" borderId="1" xfId="0" applyNumberFormat="1" applyFont="1" applyBorder="1"/>
    <xf numFmtId="0" fontId="0" fillId="2" borderId="0" xfId="0" applyFill="1"/>
    <xf numFmtId="0" fontId="4" fillId="0" borderId="1" xfId="0" applyFont="1" applyBorder="1"/>
    <xf numFmtId="14" fontId="22" fillId="0" borderId="14" xfId="0" applyNumberFormat="1" applyFont="1" applyBorder="1" applyAlignment="1">
      <alignment horizontal="right" vertical="center"/>
    </xf>
    <xf numFmtId="0" fontId="22" fillId="0" borderId="14" xfId="0" applyFont="1" applyBorder="1" applyAlignment="1">
      <alignment vertical="center"/>
    </xf>
    <xf numFmtId="164" fontId="10" fillId="0" borderId="0" xfId="0" applyNumberFormat="1" applyFont="1"/>
    <xf numFmtId="0" fontId="23" fillId="0" borderId="1" xfId="0" applyFont="1" applyBorder="1"/>
    <xf numFmtId="3" fontId="23" fillId="0" borderId="1" xfId="0" applyNumberFormat="1" applyFont="1" applyBorder="1" applyAlignment="1">
      <alignment horizontal="center"/>
    </xf>
    <xf numFmtId="164" fontId="23" fillId="0" borderId="1" xfId="0" applyNumberFormat="1" applyFont="1" applyBorder="1"/>
    <xf numFmtId="164" fontId="23" fillId="0" borderId="0" xfId="0" applyNumberFormat="1" applyFont="1"/>
    <xf numFmtId="164" fontId="24" fillId="0" borderId="1" xfId="0" applyNumberFormat="1" applyFont="1" applyBorder="1"/>
    <xf numFmtId="0" fontId="25" fillId="0" borderId="1" xfId="0" applyFont="1" applyBorder="1"/>
    <xf numFmtId="164" fontId="25" fillId="0" borderId="1" xfId="0" applyNumberFormat="1" applyFont="1" applyBorder="1"/>
    <xf numFmtId="3" fontId="25" fillId="0" borderId="1" xfId="0" applyNumberFormat="1" applyFont="1" applyBorder="1" applyAlignment="1">
      <alignment horizontal="center"/>
    </xf>
    <xf numFmtId="0" fontId="24" fillId="0" borderId="1" xfId="0" applyFont="1" applyBorder="1"/>
    <xf numFmtId="3" fontId="24" fillId="0" borderId="1" xfId="0" applyNumberFormat="1" applyFont="1" applyBorder="1" applyAlignment="1">
      <alignment horizontal="center"/>
    </xf>
    <xf numFmtId="164" fontId="11" fillId="0" borderId="0" xfId="0" applyNumberFormat="1" applyFont="1"/>
    <xf numFmtId="164" fontId="25" fillId="0" borderId="0" xfId="0" applyNumberFormat="1" applyFont="1"/>
    <xf numFmtId="164" fontId="24" fillId="0" borderId="0" xfId="0" applyNumberFormat="1" applyFont="1"/>
    <xf numFmtId="164" fontId="5" fillId="0" borderId="0" xfId="0" applyNumberFormat="1" applyFont="1"/>
    <xf numFmtId="0" fontId="11" fillId="0" borderId="1" xfId="0" quotePrefix="1" applyFont="1" applyBorder="1"/>
  </cellXfs>
  <cellStyles count="2">
    <cellStyle name="Ezres" xfId="1" builtinId="3"/>
    <cellStyle name="Normál" xfId="0" builtinId="0"/>
  </cellStyles>
  <dxfs count="76"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5" tint="-0.24994659260841701"/>
      </font>
    </dxf>
    <dxf>
      <font>
        <color theme="6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FD50"/>
  <sheetViews>
    <sheetView topLeftCell="B1" zoomScale="90" zoomScaleNormal="90" workbookViewId="0">
      <selection activeCell="B3" sqref="B3"/>
    </sheetView>
  </sheetViews>
  <sheetFormatPr defaultRowHeight="15" x14ac:dyDescent="0.25"/>
  <cols>
    <col min="2" max="2" width="16.5703125" customWidth="1"/>
    <col min="3" max="4" width="13.5703125" customWidth="1"/>
    <col min="5" max="5" width="14.42578125" style="2" customWidth="1"/>
    <col min="6" max="6" width="14.28515625" bestFit="1" customWidth="1"/>
    <col min="7" max="7" width="13.140625" bestFit="1" customWidth="1"/>
    <col min="8" max="8" width="14.28515625" bestFit="1" customWidth="1"/>
    <col min="10" max="10" width="20.140625" customWidth="1"/>
    <col min="12" max="12" width="12.7109375" bestFit="1" customWidth="1"/>
    <col min="14" max="14" width="14.28515625" bestFit="1" customWidth="1"/>
    <col min="15" max="15" width="13.140625" bestFit="1" customWidth="1"/>
    <col min="16" max="16" width="14.28515625" bestFit="1" customWidth="1"/>
    <col min="17" max="17" width="13" bestFit="1" customWidth="1"/>
  </cols>
  <sheetData>
    <row r="3" spans="2:16" ht="18.75" x14ac:dyDescent="0.3">
      <c r="B3" s="24" t="s">
        <v>0</v>
      </c>
      <c r="C3" s="18"/>
      <c r="D3" s="18"/>
      <c r="E3" s="19"/>
      <c r="F3" s="18"/>
      <c r="G3" s="18"/>
      <c r="H3" s="18"/>
    </row>
    <row r="4" spans="2:16" x14ac:dyDescent="0.25">
      <c r="B4" s="6" t="s">
        <v>5</v>
      </c>
      <c r="C4" s="6" t="s">
        <v>6</v>
      </c>
      <c r="D4" s="6" t="s">
        <v>11</v>
      </c>
      <c r="E4" s="7"/>
      <c r="F4" s="6" t="s">
        <v>10</v>
      </c>
      <c r="G4" s="6"/>
      <c r="H4" s="6"/>
      <c r="J4" s="6" t="s">
        <v>5</v>
      </c>
      <c r="K4" s="6" t="s">
        <v>6</v>
      </c>
      <c r="L4" s="6" t="s">
        <v>11</v>
      </c>
      <c r="M4" s="3"/>
      <c r="N4" s="6" t="s">
        <v>22</v>
      </c>
      <c r="O4" s="3"/>
      <c r="P4" s="3"/>
    </row>
    <row r="5" spans="2:16" x14ac:dyDescent="0.25">
      <c r="B5" s="50"/>
      <c r="C5" s="6"/>
      <c r="D5" s="6"/>
      <c r="E5" s="7"/>
      <c r="F5" s="3" t="s">
        <v>7</v>
      </c>
      <c r="G5" s="3" t="s">
        <v>8</v>
      </c>
      <c r="H5" s="3" t="s">
        <v>9</v>
      </c>
      <c r="J5" s="52" t="s">
        <v>14</v>
      </c>
      <c r="K5" s="8"/>
      <c r="L5" s="3"/>
      <c r="M5" s="3"/>
      <c r="N5" s="3"/>
      <c r="O5" s="3"/>
      <c r="P5" s="3"/>
    </row>
    <row r="6" spans="2:16" x14ac:dyDescent="0.25">
      <c r="B6" s="51"/>
      <c r="C6" s="6"/>
      <c r="D6" s="6"/>
      <c r="E6" s="7"/>
      <c r="F6" s="9"/>
      <c r="G6" s="5"/>
      <c r="H6" s="9"/>
      <c r="J6" s="3" t="s">
        <v>16</v>
      </c>
      <c r="K6" s="8" t="s">
        <v>6</v>
      </c>
      <c r="L6" s="3" t="s">
        <v>19</v>
      </c>
      <c r="M6" s="3" t="s">
        <v>24</v>
      </c>
      <c r="N6" s="3" t="s">
        <v>7</v>
      </c>
      <c r="O6" s="3" t="s">
        <v>20</v>
      </c>
      <c r="P6" s="3" t="s">
        <v>21</v>
      </c>
    </row>
    <row r="7" spans="2:16" x14ac:dyDescent="0.25">
      <c r="B7" s="51"/>
      <c r="C7" s="6"/>
      <c r="D7" s="6"/>
      <c r="E7" s="7"/>
      <c r="F7" s="6"/>
      <c r="G7" s="6"/>
      <c r="H7" s="5"/>
      <c r="J7" s="5" t="s">
        <v>18</v>
      </c>
      <c r="K7" s="3"/>
      <c r="L7" s="5"/>
      <c r="M7" s="4"/>
      <c r="N7" s="5"/>
      <c r="O7" s="5"/>
      <c r="P7" s="5"/>
    </row>
    <row r="8" spans="2:16" x14ac:dyDescent="0.25">
      <c r="B8" s="50" t="s">
        <v>1</v>
      </c>
      <c r="C8" s="6"/>
      <c r="D8" s="6"/>
      <c r="E8" s="7"/>
      <c r="F8" s="6"/>
      <c r="G8" s="6"/>
      <c r="H8" s="6"/>
      <c r="J8" s="44" t="s">
        <v>55</v>
      </c>
      <c r="K8" s="3"/>
      <c r="L8" s="5">
        <v>10000</v>
      </c>
      <c r="M8" s="4">
        <v>30</v>
      </c>
      <c r="N8" s="5">
        <f t="shared" ref="N8:N9" si="0">M8*L8</f>
        <v>300000</v>
      </c>
      <c r="O8" s="5">
        <v>0</v>
      </c>
      <c r="P8" s="5">
        <f t="shared" ref="P8:P9" si="1">O8+N8</f>
        <v>300000</v>
      </c>
    </row>
    <row r="9" spans="2:16" x14ac:dyDescent="0.25">
      <c r="B9" s="3" t="s">
        <v>15</v>
      </c>
      <c r="C9" s="3"/>
      <c r="D9" s="3" t="s">
        <v>3</v>
      </c>
      <c r="E9" s="4" t="s">
        <v>4</v>
      </c>
      <c r="F9" s="3" t="s">
        <v>7</v>
      </c>
      <c r="G9" s="3" t="s">
        <v>8</v>
      </c>
      <c r="H9" s="3" t="s">
        <v>9</v>
      </c>
      <c r="J9" s="44" t="s">
        <v>54</v>
      </c>
      <c r="K9" s="3" t="s">
        <v>56</v>
      </c>
      <c r="L9" s="5">
        <v>20000</v>
      </c>
      <c r="M9" s="4">
        <v>66</v>
      </c>
      <c r="N9" s="5">
        <f t="shared" si="0"/>
        <v>1320000</v>
      </c>
      <c r="O9" s="5">
        <v>0</v>
      </c>
      <c r="P9" s="5">
        <f t="shared" si="1"/>
        <v>1320000</v>
      </c>
    </row>
    <row r="10" spans="2:16" x14ac:dyDescent="0.25">
      <c r="B10" s="3" t="s">
        <v>2</v>
      </c>
      <c r="C10" s="3"/>
      <c r="D10" s="5">
        <f>240000*1.27</f>
        <v>304800</v>
      </c>
      <c r="E10" s="4">
        <v>12</v>
      </c>
      <c r="F10" s="5">
        <f t="shared" ref="F10:F16" si="2">E10*D10</f>
        <v>3657600</v>
      </c>
      <c r="G10" s="5">
        <v>0</v>
      </c>
      <c r="H10" s="5">
        <f t="shared" ref="H10:H16" si="3">G10+F10</f>
        <v>3657600</v>
      </c>
      <c r="I10" s="1"/>
      <c r="J10" s="3"/>
      <c r="K10" s="3" t="s">
        <v>57</v>
      </c>
      <c r="L10" s="5">
        <v>5000</v>
      </c>
      <c r="M10" s="4">
        <v>66</v>
      </c>
      <c r="N10" s="5">
        <f t="shared" ref="N10" si="4">M10*L10</f>
        <v>330000</v>
      </c>
      <c r="O10" s="5">
        <v>0</v>
      </c>
      <c r="P10" s="5">
        <f t="shared" ref="P10" si="5">O10+N10</f>
        <v>330000</v>
      </c>
    </row>
    <row r="11" spans="2:16" x14ac:dyDescent="0.25">
      <c r="B11" s="3" t="s">
        <v>13</v>
      </c>
      <c r="C11" s="3"/>
      <c r="D11" s="5">
        <v>40000</v>
      </c>
      <c r="E11" s="4">
        <v>12</v>
      </c>
      <c r="F11" s="5">
        <f t="shared" si="2"/>
        <v>480000</v>
      </c>
      <c r="G11" s="5">
        <v>0</v>
      </c>
      <c r="H11" s="5">
        <f t="shared" si="3"/>
        <v>480000</v>
      </c>
      <c r="I11" s="1"/>
      <c r="J11" s="3"/>
      <c r="K11" s="3" t="s">
        <v>58</v>
      </c>
      <c r="L11" s="5">
        <v>200000</v>
      </c>
      <c r="M11" s="4">
        <v>4</v>
      </c>
      <c r="N11" s="5">
        <f t="shared" ref="N11" si="6">M11*L11</f>
        <v>800000</v>
      </c>
      <c r="O11" s="5">
        <v>0</v>
      </c>
      <c r="P11" s="5">
        <f t="shared" ref="P11" si="7">O11+N11</f>
        <v>800000</v>
      </c>
    </row>
    <row r="12" spans="2:16" x14ac:dyDescent="0.25">
      <c r="B12" s="3" t="s">
        <v>26</v>
      </c>
      <c r="C12" s="3"/>
      <c r="D12" s="5">
        <v>25000</v>
      </c>
      <c r="E12" s="4">
        <v>12</v>
      </c>
      <c r="F12" s="5">
        <f t="shared" si="2"/>
        <v>300000</v>
      </c>
      <c r="G12" s="5">
        <f>F12*0.27</f>
        <v>81000</v>
      </c>
      <c r="H12" s="5">
        <f t="shared" si="3"/>
        <v>381000</v>
      </c>
      <c r="I12" s="1"/>
      <c r="J12" s="3" t="s">
        <v>60</v>
      </c>
      <c r="K12" s="3"/>
      <c r="L12" s="3"/>
      <c r="M12" s="3"/>
      <c r="N12" s="5">
        <f>SUM(N8:N11)</f>
        <v>2750000</v>
      </c>
      <c r="O12" s="5">
        <f>SUM(O8:O11)</f>
        <v>0</v>
      </c>
      <c r="P12" s="5">
        <f>SUM(P8:P11)</f>
        <v>2750000</v>
      </c>
    </row>
    <row r="13" spans="2:16" x14ac:dyDescent="0.25">
      <c r="B13" s="3" t="s">
        <v>12</v>
      </c>
      <c r="C13" s="3"/>
      <c r="D13" s="5">
        <v>26500</v>
      </c>
      <c r="E13" s="4">
        <v>12</v>
      </c>
      <c r="F13" s="5">
        <f t="shared" si="2"/>
        <v>318000</v>
      </c>
      <c r="G13" s="5">
        <f>F13*0.27</f>
        <v>85860</v>
      </c>
      <c r="H13" s="5">
        <f t="shared" si="3"/>
        <v>403860</v>
      </c>
      <c r="I13" s="1"/>
      <c r="J13" s="3"/>
      <c r="K13" s="3"/>
      <c r="L13" s="3"/>
      <c r="M13" s="3"/>
      <c r="N13" s="3"/>
      <c r="O13" s="3"/>
      <c r="P13" s="3"/>
    </row>
    <row r="14" spans="2:16" x14ac:dyDescent="0.25">
      <c r="B14" s="3" t="s">
        <v>27</v>
      </c>
      <c r="C14" s="3"/>
      <c r="D14" s="5">
        <v>50000</v>
      </c>
      <c r="E14" s="4">
        <v>8</v>
      </c>
      <c r="F14" s="5">
        <f t="shared" si="2"/>
        <v>400000</v>
      </c>
      <c r="G14" s="5">
        <f>F14*0.27</f>
        <v>108000</v>
      </c>
      <c r="H14" s="5">
        <f t="shared" si="3"/>
        <v>508000</v>
      </c>
      <c r="I14" s="1"/>
      <c r="J14" s="5" t="s">
        <v>23</v>
      </c>
      <c r="K14" s="3"/>
      <c r="L14" s="5">
        <v>100000</v>
      </c>
      <c r="M14" s="4">
        <v>4</v>
      </c>
      <c r="N14" s="5">
        <f t="shared" ref="N14" si="8">M14*L14</f>
        <v>400000</v>
      </c>
      <c r="O14" s="5">
        <v>0</v>
      </c>
      <c r="P14" s="5">
        <f t="shared" ref="P14" si="9">O14+N14</f>
        <v>400000</v>
      </c>
    </row>
    <row r="15" spans="2:16" x14ac:dyDescent="0.25">
      <c r="B15" s="3" t="s">
        <v>39</v>
      </c>
      <c r="C15" s="3"/>
      <c r="D15" s="5">
        <v>20000</v>
      </c>
      <c r="E15" s="4">
        <v>12</v>
      </c>
      <c r="F15" s="5">
        <f t="shared" si="2"/>
        <v>240000</v>
      </c>
      <c r="G15" s="5">
        <f>F15*0.27</f>
        <v>64800.000000000007</v>
      </c>
      <c r="H15" s="5">
        <f t="shared" si="3"/>
        <v>304800</v>
      </c>
      <c r="I15" s="1"/>
      <c r="J15" s="5"/>
      <c r="K15" s="3"/>
      <c r="L15" s="5"/>
      <c r="M15" s="4"/>
      <c r="N15" s="5"/>
      <c r="O15" s="3"/>
      <c r="P15" s="3"/>
    </row>
    <row r="16" spans="2:16" x14ac:dyDescent="0.25">
      <c r="B16" s="3" t="s">
        <v>38</v>
      </c>
      <c r="C16" s="3"/>
      <c r="D16" s="5">
        <v>500000</v>
      </c>
      <c r="E16" s="4">
        <v>1</v>
      </c>
      <c r="F16" s="5">
        <f t="shared" si="2"/>
        <v>500000</v>
      </c>
      <c r="G16" s="5">
        <f>F16*0.27</f>
        <v>135000</v>
      </c>
      <c r="H16" s="5">
        <f t="shared" si="3"/>
        <v>635000</v>
      </c>
      <c r="I16" s="1"/>
      <c r="J16" s="5" t="s">
        <v>59</v>
      </c>
      <c r="K16" s="3"/>
      <c r="L16" s="5">
        <v>2200000</v>
      </c>
      <c r="M16" s="4">
        <v>1</v>
      </c>
      <c r="N16" s="5">
        <f t="shared" ref="N16" si="10">M16*L16</f>
        <v>2200000</v>
      </c>
      <c r="O16" s="5">
        <v>0</v>
      </c>
      <c r="P16" s="5">
        <f t="shared" ref="P16" si="11">O16+N16</f>
        <v>2200000</v>
      </c>
    </row>
    <row r="17" spans="2:17 16384:16384" x14ac:dyDescent="0.25">
      <c r="B17" s="50" t="s">
        <v>25</v>
      </c>
      <c r="C17" s="3"/>
      <c r="D17" s="5"/>
      <c r="E17" s="4"/>
      <c r="F17" s="9">
        <f>SUM(F10:F16)</f>
        <v>5895600</v>
      </c>
      <c r="G17" s="9">
        <f>SUM(G10:G16)</f>
        <v>474660</v>
      </c>
      <c r="H17" s="9">
        <f>SUM(H10:H16)</f>
        <v>6370260</v>
      </c>
      <c r="I17" s="1"/>
      <c r="J17" s="9" t="s">
        <v>62</v>
      </c>
      <c r="K17" s="3"/>
      <c r="L17" s="54">
        <v>1000000</v>
      </c>
      <c r="M17" s="55">
        <v>1</v>
      </c>
      <c r="N17" s="54">
        <f t="shared" ref="N17" si="12">M17*L17</f>
        <v>1000000</v>
      </c>
      <c r="O17" s="54">
        <v>0</v>
      </c>
      <c r="P17" s="54">
        <f t="shared" ref="P17:P18" si="13">O17+N17</f>
        <v>1000000</v>
      </c>
      <c r="Q17" s="1">
        <f>F21-N21</f>
        <v>-454400</v>
      </c>
      <c r="XFD17" s="5"/>
    </row>
    <row r="18" spans="2:17 16384:16384" x14ac:dyDescent="0.25">
      <c r="B18" s="50"/>
      <c r="C18" s="3"/>
      <c r="D18" s="5"/>
      <c r="E18" s="4"/>
      <c r="F18" s="9"/>
      <c r="G18" s="9"/>
      <c r="H18" s="9"/>
      <c r="I18" s="1"/>
      <c r="J18" s="40" t="s">
        <v>61</v>
      </c>
      <c r="K18" s="38"/>
      <c r="L18" s="38"/>
      <c r="M18" s="39"/>
      <c r="N18" s="5">
        <f>SUM(N14:N17)</f>
        <v>3600000</v>
      </c>
      <c r="O18" s="40">
        <v>0</v>
      </c>
      <c r="P18" s="5">
        <f t="shared" si="13"/>
        <v>3600000</v>
      </c>
      <c r="XFD18" s="37"/>
    </row>
    <row r="19" spans="2:17 16384:16384" x14ac:dyDescent="0.25">
      <c r="B19" s="3"/>
      <c r="C19" s="3"/>
      <c r="D19" s="3"/>
      <c r="E19" s="4"/>
      <c r="F19" s="3"/>
      <c r="G19" s="3"/>
      <c r="H19" s="3"/>
      <c r="I19" s="1"/>
      <c r="J19" s="53"/>
      <c r="K19" s="6"/>
      <c r="L19" s="6"/>
      <c r="M19" s="7"/>
      <c r="N19" s="9"/>
      <c r="O19" s="9"/>
      <c r="P19" s="9"/>
      <c r="XFD19" s="37"/>
    </row>
    <row r="20" spans="2:17 16384:16384" x14ac:dyDescent="0.25">
      <c r="B20" s="3"/>
      <c r="C20" s="3"/>
      <c r="D20" s="5"/>
      <c r="E20" s="4"/>
      <c r="F20" s="5"/>
      <c r="G20" s="5"/>
      <c r="H20" s="5"/>
      <c r="I20" s="1"/>
      <c r="J20" s="53"/>
      <c r="K20" s="6"/>
      <c r="L20" s="6"/>
      <c r="M20" s="7"/>
      <c r="N20" s="9"/>
      <c r="O20" s="9"/>
      <c r="P20" s="9"/>
    </row>
    <row r="21" spans="2:17 16384:16384" x14ac:dyDescent="0.25">
      <c r="B21" s="50" t="s">
        <v>52</v>
      </c>
      <c r="C21" s="3"/>
      <c r="D21" s="5"/>
      <c r="E21" s="4"/>
      <c r="F21" s="9">
        <f>F17+F6</f>
        <v>5895600</v>
      </c>
      <c r="G21" s="9">
        <f>G17+G6</f>
        <v>474660</v>
      </c>
      <c r="H21" s="9">
        <f>H17+H6</f>
        <v>6370260</v>
      </c>
      <c r="I21" s="1"/>
      <c r="J21" s="53" t="s">
        <v>51</v>
      </c>
      <c r="K21" s="6"/>
      <c r="L21" s="6"/>
      <c r="M21" s="7"/>
      <c r="N21" s="9">
        <f>N18+N12</f>
        <v>6350000</v>
      </c>
      <c r="O21" s="9">
        <f>SUM(O6:O20)</f>
        <v>0</v>
      </c>
      <c r="P21" s="9">
        <f>P18+P12</f>
        <v>6350000</v>
      </c>
    </row>
    <row r="22" spans="2:17 16384:16384" x14ac:dyDescent="0.25">
      <c r="I22" s="1"/>
    </row>
    <row r="23" spans="2:17 16384:16384" ht="15.75" x14ac:dyDescent="0.25">
      <c r="B23" s="47" t="s">
        <v>63</v>
      </c>
      <c r="C23" s="47"/>
      <c r="D23" s="47"/>
      <c r="E23" s="48"/>
      <c r="F23" s="49">
        <f>N21-F21</f>
        <v>454400</v>
      </c>
      <c r="I23" s="1"/>
    </row>
    <row r="24" spans="2:17 16384:16384" x14ac:dyDescent="0.25">
      <c r="I24" s="1"/>
    </row>
    <row r="25" spans="2:17 16384:16384" ht="15.75" thickBot="1" x14ac:dyDescent="0.3">
      <c r="I25" s="1"/>
      <c r="J25" s="45"/>
      <c r="K25" s="28"/>
      <c r="L25" s="28"/>
      <c r="M25" s="29"/>
      <c r="N25" s="28"/>
      <c r="O25" s="28"/>
      <c r="P25" s="46"/>
    </row>
    <row r="26" spans="2:17 16384:16384" x14ac:dyDescent="0.25">
      <c r="B26" s="30" t="s">
        <v>28</v>
      </c>
      <c r="C26" s="17"/>
      <c r="D26" s="17" t="s">
        <v>3</v>
      </c>
      <c r="E26" s="20" t="s">
        <v>4</v>
      </c>
      <c r="F26" s="17" t="s">
        <v>7</v>
      </c>
      <c r="G26" s="17" t="s">
        <v>8</v>
      </c>
      <c r="H26" s="21" t="s">
        <v>9</v>
      </c>
      <c r="I26" s="1"/>
      <c r="J26" s="34" t="s">
        <v>17</v>
      </c>
      <c r="K26" s="10"/>
      <c r="L26" s="10"/>
      <c r="M26" s="31"/>
      <c r="N26" s="17" t="s">
        <v>7</v>
      </c>
      <c r="O26" s="17" t="s">
        <v>8</v>
      </c>
      <c r="P26" s="21" t="s">
        <v>9</v>
      </c>
    </row>
    <row r="27" spans="2:17 16384:16384" x14ac:dyDescent="0.25">
      <c r="B27" s="32" t="s">
        <v>29</v>
      </c>
      <c r="C27" s="3" t="s">
        <v>30</v>
      </c>
      <c r="D27" s="5"/>
      <c r="E27" s="4"/>
      <c r="F27" s="5"/>
      <c r="G27" s="5"/>
      <c r="H27" s="14"/>
      <c r="I27" s="1"/>
      <c r="J27" s="35" t="s">
        <v>29</v>
      </c>
      <c r="K27" s="3"/>
      <c r="L27" s="3"/>
      <c r="M27" s="4"/>
      <c r="N27" s="3"/>
      <c r="O27" s="3"/>
      <c r="P27" s="12"/>
    </row>
    <row r="28" spans="2:17 16384:16384" x14ac:dyDescent="0.25">
      <c r="B28" s="11"/>
      <c r="C28" s="3" t="s">
        <v>32</v>
      </c>
      <c r="D28" s="5">
        <v>591000</v>
      </c>
      <c r="E28" s="4">
        <v>3</v>
      </c>
      <c r="F28" s="5">
        <f>E28*D28</f>
        <v>1773000</v>
      </c>
      <c r="G28" s="5">
        <v>0</v>
      </c>
      <c r="H28" s="14">
        <f>G28+F28</f>
        <v>1773000</v>
      </c>
      <c r="I28" s="1"/>
      <c r="J28" s="13" t="s">
        <v>36</v>
      </c>
      <c r="K28" s="3"/>
      <c r="L28" s="3"/>
      <c r="M28" s="4"/>
      <c r="N28" s="5">
        <f t="shared" ref="N28:P33" si="14">F28</f>
        <v>1773000</v>
      </c>
      <c r="O28" s="5">
        <f t="shared" si="14"/>
        <v>0</v>
      </c>
      <c r="P28" s="14">
        <f t="shared" si="14"/>
        <v>1773000</v>
      </c>
    </row>
    <row r="29" spans="2:17 16384:16384" x14ac:dyDescent="0.25">
      <c r="B29" s="11"/>
      <c r="C29" s="3" t="s">
        <v>33</v>
      </c>
      <c r="D29" s="5">
        <v>132000</v>
      </c>
      <c r="E29" s="4">
        <v>3</v>
      </c>
      <c r="F29" s="5">
        <f>E29*D29</f>
        <v>396000</v>
      </c>
      <c r="G29" s="5">
        <v>0</v>
      </c>
      <c r="H29" s="14">
        <f>G29+F29</f>
        <v>396000</v>
      </c>
      <c r="I29" s="1"/>
      <c r="J29" s="13"/>
      <c r="K29" s="3"/>
      <c r="L29" s="3"/>
      <c r="M29" s="4"/>
      <c r="N29" s="5">
        <f t="shared" si="14"/>
        <v>396000</v>
      </c>
      <c r="O29" s="5">
        <f t="shared" si="14"/>
        <v>0</v>
      </c>
      <c r="P29" s="14">
        <f t="shared" si="14"/>
        <v>396000</v>
      </c>
    </row>
    <row r="30" spans="2:17 16384:16384" x14ac:dyDescent="0.25">
      <c r="B30" s="11"/>
      <c r="C30" s="3" t="s">
        <v>31</v>
      </c>
      <c r="D30" s="5">
        <f>135000+40000</f>
        <v>175000</v>
      </c>
      <c r="E30" s="4">
        <v>3</v>
      </c>
      <c r="F30" s="5">
        <f>E30*D30</f>
        <v>525000</v>
      </c>
      <c r="G30" s="5">
        <v>0</v>
      </c>
      <c r="H30" s="14">
        <f>G30+F30</f>
        <v>525000</v>
      </c>
      <c r="I30" s="1"/>
      <c r="J30" s="13"/>
      <c r="K30" s="3"/>
      <c r="L30" s="3"/>
      <c r="M30" s="4"/>
      <c r="N30" s="5">
        <f t="shared" si="14"/>
        <v>525000</v>
      </c>
      <c r="O30" s="5">
        <f t="shared" si="14"/>
        <v>0</v>
      </c>
      <c r="P30" s="14">
        <f t="shared" si="14"/>
        <v>525000</v>
      </c>
    </row>
    <row r="31" spans="2:17 16384:16384" x14ac:dyDescent="0.25">
      <c r="B31" s="11"/>
      <c r="C31" s="3" t="s">
        <v>35</v>
      </c>
      <c r="D31" s="5"/>
      <c r="E31" s="4"/>
      <c r="F31" s="5"/>
      <c r="G31" s="5"/>
      <c r="H31" s="14"/>
      <c r="I31" s="1"/>
      <c r="J31" s="13" t="s">
        <v>34</v>
      </c>
      <c r="K31" s="3"/>
      <c r="L31" s="3"/>
      <c r="M31" s="4"/>
      <c r="N31" s="5">
        <f t="shared" si="14"/>
        <v>0</v>
      </c>
      <c r="O31" s="5">
        <f t="shared" si="14"/>
        <v>0</v>
      </c>
      <c r="P31" s="14">
        <f t="shared" si="14"/>
        <v>0</v>
      </c>
    </row>
    <row r="32" spans="2:17 16384:16384" x14ac:dyDescent="0.25">
      <c r="B32" s="11"/>
      <c r="C32" s="3" t="s">
        <v>32</v>
      </c>
      <c r="D32" s="5">
        <v>591000</v>
      </c>
      <c r="E32" s="4">
        <v>3</v>
      </c>
      <c r="F32" s="5">
        <f>E32*D32</f>
        <v>1773000</v>
      </c>
      <c r="G32" s="5">
        <v>0</v>
      </c>
      <c r="H32" s="14">
        <f>G32+F32</f>
        <v>1773000</v>
      </c>
      <c r="I32" s="1"/>
      <c r="J32" s="13"/>
      <c r="K32" s="3"/>
      <c r="L32" s="3"/>
      <c r="M32" s="4"/>
      <c r="N32" s="5">
        <f t="shared" si="14"/>
        <v>1773000</v>
      </c>
      <c r="O32" s="5">
        <f t="shared" si="14"/>
        <v>0</v>
      </c>
      <c r="P32" s="14">
        <f t="shared" si="14"/>
        <v>1773000</v>
      </c>
    </row>
    <row r="33" spans="2:16" x14ac:dyDescent="0.25">
      <c r="B33" s="11"/>
      <c r="C33" s="3" t="s">
        <v>33</v>
      </c>
      <c r="D33" s="5">
        <v>132000</v>
      </c>
      <c r="E33" s="4">
        <v>3</v>
      </c>
      <c r="F33" s="5">
        <f>E33*D33</f>
        <v>396000</v>
      </c>
      <c r="G33" s="5">
        <v>0</v>
      </c>
      <c r="H33" s="14">
        <f>G33+F33</f>
        <v>396000</v>
      </c>
      <c r="J33" s="13"/>
      <c r="K33" s="3"/>
      <c r="L33" s="3"/>
      <c r="M33" s="4"/>
      <c r="N33" s="5">
        <f t="shared" si="14"/>
        <v>396000</v>
      </c>
      <c r="O33" s="5">
        <f t="shared" si="14"/>
        <v>0</v>
      </c>
      <c r="P33" s="14">
        <f t="shared" si="14"/>
        <v>396000</v>
      </c>
    </row>
    <row r="34" spans="2:16" x14ac:dyDescent="0.25">
      <c r="B34" s="11"/>
      <c r="C34" s="3"/>
      <c r="D34" s="5"/>
      <c r="E34" s="4"/>
      <c r="F34" s="5"/>
      <c r="G34" s="5"/>
      <c r="H34" s="14"/>
      <c r="J34" s="13"/>
      <c r="K34" s="3"/>
      <c r="L34" s="3"/>
      <c r="M34" s="4"/>
      <c r="N34" s="3"/>
      <c r="O34" s="3"/>
      <c r="P34" s="12"/>
    </row>
    <row r="35" spans="2:16" x14ac:dyDescent="0.25">
      <c r="B35" s="32" t="s">
        <v>37</v>
      </c>
      <c r="C35" s="6"/>
      <c r="D35" s="9"/>
      <c r="E35" s="7"/>
      <c r="F35" s="9">
        <f>SUM(F28:F34)</f>
        <v>4863000</v>
      </c>
      <c r="G35" s="9">
        <f>SUM(G28:G34)</f>
        <v>0</v>
      </c>
      <c r="H35" s="33">
        <f>SUM(H28:H34)</f>
        <v>4863000</v>
      </c>
      <c r="J35" s="35" t="s">
        <v>40</v>
      </c>
      <c r="K35" s="6"/>
      <c r="L35" s="6"/>
      <c r="M35" s="7"/>
      <c r="N35" s="9">
        <f>SUM(N28:N34)</f>
        <v>4863000</v>
      </c>
      <c r="O35" s="9">
        <f>SUM(O28:O34)</f>
        <v>0</v>
      </c>
      <c r="P35" s="33">
        <f>SUM(P28:P34)</f>
        <v>4863000</v>
      </c>
    </row>
    <row r="36" spans="2:16" x14ac:dyDescent="0.25">
      <c r="B36" s="11"/>
      <c r="C36" s="3"/>
      <c r="D36" s="5"/>
      <c r="E36" s="4"/>
      <c r="F36" s="5"/>
      <c r="G36" s="5"/>
      <c r="H36" s="14"/>
      <c r="J36" s="13"/>
      <c r="K36" s="3"/>
      <c r="L36" s="3"/>
      <c r="M36" s="4"/>
      <c r="N36" s="3"/>
      <c r="O36" s="3"/>
      <c r="P36" s="12"/>
    </row>
    <row r="37" spans="2:16" x14ac:dyDescent="0.25">
      <c r="B37" s="32" t="s">
        <v>41</v>
      </c>
      <c r="C37" s="3"/>
      <c r="D37" s="5"/>
      <c r="E37" s="4"/>
      <c r="F37" s="5"/>
      <c r="G37" s="5"/>
      <c r="H37" s="14"/>
      <c r="J37" s="35" t="s">
        <v>41</v>
      </c>
      <c r="K37" s="3"/>
      <c r="L37" s="3"/>
      <c r="M37" s="3"/>
      <c r="N37" s="9">
        <f>SUM(N38:N39)</f>
        <v>32000000</v>
      </c>
      <c r="O37" s="9">
        <f t="shared" ref="O37:P37" si="15">SUM(O38:O39)</f>
        <v>8640000</v>
      </c>
      <c r="P37" s="33">
        <f t="shared" si="15"/>
        <v>40640000</v>
      </c>
    </row>
    <row r="38" spans="2:16" x14ac:dyDescent="0.25">
      <c r="B38" s="11"/>
      <c r="C38" s="27" t="s">
        <v>42</v>
      </c>
      <c r="D38" s="9"/>
      <c r="E38" s="27"/>
      <c r="F38" s="9">
        <v>32000000</v>
      </c>
      <c r="G38" s="9">
        <f>F38*0.27</f>
        <v>8640000</v>
      </c>
      <c r="H38" s="33">
        <f>G38+F38</f>
        <v>40640000</v>
      </c>
      <c r="J38" s="11"/>
      <c r="K38" s="3" t="s">
        <v>43</v>
      </c>
      <c r="L38" s="3"/>
      <c r="M38" s="3"/>
      <c r="N38" s="5">
        <f>F38*0.95</f>
        <v>30400000</v>
      </c>
      <c r="O38" s="27">
        <f>N38*0.27</f>
        <v>8208000.0000000009</v>
      </c>
      <c r="P38" s="36">
        <f>O38+N38</f>
        <v>38608000</v>
      </c>
    </row>
    <row r="39" spans="2:16" x14ac:dyDescent="0.25">
      <c r="B39" s="11"/>
      <c r="C39" s="3"/>
      <c r="D39" s="3"/>
      <c r="E39" s="4"/>
      <c r="F39" s="3"/>
      <c r="G39" s="3"/>
      <c r="H39" s="12"/>
      <c r="J39" s="11"/>
      <c r="K39" s="3" t="s">
        <v>44</v>
      </c>
      <c r="L39" s="3"/>
      <c r="M39" s="3"/>
      <c r="N39" s="5">
        <f>F38*0.05</f>
        <v>1600000</v>
      </c>
      <c r="O39" s="27">
        <f>N39*0.27</f>
        <v>432000</v>
      </c>
      <c r="P39" s="36">
        <f>O39+N39</f>
        <v>2032000</v>
      </c>
    </row>
    <row r="40" spans="2:16" x14ac:dyDescent="0.25">
      <c r="B40" s="32" t="s">
        <v>45</v>
      </c>
      <c r="C40" s="3"/>
      <c r="D40" s="3"/>
      <c r="E40" s="4"/>
      <c r="F40" s="3"/>
      <c r="G40" s="3"/>
      <c r="H40" s="12"/>
      <c r="J40" s="11"/>
      <c r="K40" s="3"/>
      <c r="L40" s="3"/>
      <c r="M40" s="3"/>
      <c r="N40" s="3"/>
      <c r="O40" s="3"/>
      <c r="P40" s="12"/>
    </row>
    <row r="41" spans="2:16" x14ac:dyDescent="0.25">
      <c r="B41" s="11"/>
      <c r="C41" s="27" t="s">
        <v>42</v>
      </c>
      <c r="D41" s="9"/>
      <c r="E41" s="27"/>
      <c r="F41" s="9">
        <v>212288646</v>
      </c>
      <c r="G41" s="9">
        <f>F41*0.27</f>
        <v>57317934.420000002</v>
      </c>
      <c r="H41" s="33">
        <f>G41+F41</f>
        <v>269606580.42000002</v>
      </c>
      <c r="J41" s="35" t="s">
        <v>45</v>
      </c>
      <c r="K41" s="3"/>
      <c r="L41" s="3"/>
      <c r="M41" s="3"/>
      <c r="N41" s="9">
        <f>SUM(N42:N43)</f>
        <v>212288646</v>
      </c>
      <c r="O41" s="9">
        <f t="shared" ref="O41" si="16">SUM(O42:O43)</f>
        <v>57317934.420000002</v>
      </c>
      <c r="P41" s="33">
        <f t="shared" ref="P41" si="17">SUM(P42:P43)</f>
        <v>269606580.42000002</v>
      </c>
    </row>
    <row r="42" spans="2:16" x14ac:dyDescent="0.25">
      <c r="B42" s="11"/>
      <c r="C42" s="3"/>
      <c r="D42" s="3"/>
      <c r="E42" s="4"/>
      <c r="F42" s="3"/>
      <c r="G42" s="3"/>
      <c r="H42" s="12"/>
      <c r="J42" s="11"/>
      <c r="K42" s="3" t="s">
        <v>43</v>
      </c>
      <c r="L42" s="3"/>
      <c r="M42" s="3"/>
      <c r="N42" s="5">
        <f>F41*0.95</f>
        <v>201674213.69999999</v>
      </c>
      <c r="O42" s="27">
        <f>N42*0.27</f>
        <v>54452037.699000001</v>
      </c>
      <c r="P42" s="36">
        <f>O42+N42</f>
        <v>256126251.39899999</v>
      </c>
    </row>
    <row r="43" spans="2:16" x14ac:dyDescent="0.25">
      <c r="B43" s="11"/>
      <c r="C43" s="3"/>
      <c r="D43" s="3"/>
      <c r="E43" s="4"/>
      <c r="F43" s="3"/>
      <c r="G43" s="3"/>
      <c r="H43" s="12"/>
      <c r="J43" s="11"/>
      <c r="K43" s="3" t="s">
        <v>44</v>
      </c>
      <c r="L43" s="3"/>
      <c r="M43" s="3"/>
      <c r="N43" s="5">
        <f>F41*0.05</f>
        <v>10614432.300000001</v>
      </c>
      <c r="O43" s="27">
        <f>N43*0.27</f>
        <v>2865896.7210000004</v>
      </c>
      <c r="P43" s="36">
        <f>O43+N43</f>
        <v>13480329.021000002</v>
      </c>
    </row>
    <row r="44" spans="2:16" x14ac:dyDescent="0.25">
      <c r="B44" s="11"/>
      <c r="C44" s="3"/>
      <c r="D44" s="3"/>
      <c r="E44" s="4"/>
      <c r="F44" s="3"/>
      <c r="G44" s="3"/>
      <c r="H44" s="12"/>
      <c r="J44" s="11"/>
      <c r="K44" s="3"/>
      <c r="L44" s="3"/>
      <c r="M44" s="3"/>
      <c r="N44" s="3"/>
      <c r="O44" s="3"/>
      <c r="P44" s="12"/>
    </row>
    <row r="45" spans="2:16" x14ac:dyDescent="0.25">
      <c r="B45" s="32" t="s">
        <v>46</v>
      </c>
      <c r="C45" s="3"/>
      <c r="D45" s="3"/>
      <c r="E45" s="4"/>
      <c r="F45" s="9"/>
      <c r="G45" s="3"/>
      <c r="H45" s="12"/>
      <c r="J45" s="11"/>
      <c r="K45" s="3"/>
      <c r="L45" s="3"/>
      <c r="M45" s="3"/>
      <c r="N45" s="3"/>
      <c r="O45" s="3"/>
      <c r="P45" s="12"/>
    </row>
    <row r="46" spans="2:16" x14ac:dyDescent="0.25">
      <c r="B46" s="11"/>
      <c r="C46" s="3" t="s">
        <v>47</v>
      </c>
      <c r="D46" s="3"/>
      <c r="E46" s="4"/>
      <c r="F46" s="9">
        <v>20390000</v>
      </c>
      <c r="G46" s="9">
        <f>F46*0.27</f>
        <v>5505300</v>
      </c>
      <c r="H46" s="33">
        <f>G46+F46</f>
        <v>25895300</v>
      </c>
      <c r="J46" s="32" t="s">
        <v>48</v>
      </c>
      <c r="K46" s="3"/>
      <c r="L46" s="3"/>
      <c r="M46" s="3"/>
      <c r="N46" s="9">
        <v>20390000</v>
      </c>
      <c r="O46" s="9">
        <f>N46*0.27</f>
        <v>5505300</v>
      </c>
      <c r="P46" s="33">
        <f>O46+N46</f>
        <v>25895300</v>
      </c>
    </row>
    <row r="47" spans="2:16" x14ac:dyDescent="0.25">
      <c r="B47" s="11"/>
      <c r="C47" s="3"/>
      <c r="D47" s="3"/>
      <c r="E47" s="4"/>
      <c r="F47" s="3"/>
      <c r="G47" s="3"/>
      <c r="H47" s="12"/>
      <c r="J47" s="11"/>
      <c r="K47" s="3"/>
      <c r="L47" s="3"/>
      <c r="M47" s="3"/>
      <c r="N47" s="3"/>
      <c r="O47" s="3"/>
      <c r="P47" s="12"/>
    </row>
    <row r="48" spans="2:16" ht="15.75" thickBot="1" x14ac:dyDescent="0.3">
      <c r="B48" s="25" t="s">
        <v>49</v>
      </c>
      <c r="C48" s="22"/>
      <c r="D48" s="22"/>
      <c r="E48" s="23"/>
      <c r="F48" s="15">
        <f>SUM(F35:F47)</f>
        <v>269541646</v>
      </c>
      <c r="G48" s="15">
        <f>SUM(G35:G47)</f>
        <v>71463234.420000002</v>
      </c>
      <c r="H48" s="16">
        <f>SUM(H35:H47)</f>
        <v>341004880.42000002</v>
      </c>
      <c r="J48" s="26" t="s">
        <v>50</v>
      </c>
      <c r="K48" s="22"/>
      <c r="L48" s="22"/>
      <c r="M48" s="22"/>
      <c r="N48" s="15">
        <f>N46+N41+N37+N35</f>
        <v>269541646</v>
      </c>
      <c r="O48" s="15">
        <f>O46+O41+O37+O35</f>
        <v>71463234.420000002</v>
      </c>
      <c r="P48" s="16">
        <f>P46+P41+P37+P35</f>
        <v>341004880.42000002</v>
      </c>
    </row>
    <row r="50" spans="2:8" x14ac:dyDescent="0.25">
      <c r="B50" s="41" t="s">
        <v>53</v>
      </c>
      <c r="C50" s="41"/>
      <c r="D50" s="41"/>
      <c r="E50" s="42"/>
      <c r="F50" s="43">
        <f>F48+F21</f>
        <v>275437246</v>
      </c>
      <c r="G50" s="43">
        <f>G48+G21</f>
        <v>71937894.420000002</v>
      </c>
      <c r="H50" s="43">
        <f>H48+H21</f>
        <v>347375140.42000002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XFD48"/>
  <sheetViews>
    <sheetView zoomScale="90" zoomScaleNormal="90" workbookViewId="0">
      <selection activeCell="B3" sqref="B3"/>
    </sheetView>
  </sheetViews>
  <sheetFormatPr defaultRowHeight="15" x14ac:dyDescent="0.25"/>
  <cols>
    <col min="2" max="2" width="16.5703125" customWidth="1"/>
    <col min="3" max="4" width="13.5703125" customWidth="1"/>
    <col min="5" max="5" width="14.42578125" style="2" customWidth="1"/>
    <col min="6" max="6" width="14.28515625" bestFit="1" customWidth="1"/>
    <col min="7" max="7" width="13.140625" bestFit="1" customWidth="1"/>
    <col min="8" max="8" width="14.28515625" bestFit="1" customWidth="1"/>
    <col min="10" max="10" width="20.140625" customWidth="1"/>
    <col min="12" max="12" width="12.7109375" bestFit="1" customWidth="1"/>
    <col min="14" max="14" width="14.28515625" bestFit="1" customWidth="1"/>
    <col min="15" max="15" width="13.140625" bestFit="1" customWidth="1"/>
    <col min="16" max="16" width="14.28515625" bestFit="1" customWidth="1"/>
    <col min="17" max="17" width="13" bestFit="1" customWidth="1"/>
  </cols>
  <sheetData>
    <row r="3" spans="2:16" ht="18.75" x14ac:dyDescent="0.3">
      <c r="B3" s="24" t="s">
        <v>64</v>
      </c>
      <c r="C3" s="18"/>
      <c r="D3" s="18"/>
      <c r="E3" s="19"/>
      <c r="F3" s="18"/>
      <c r="G3" s="18"/>
      <c r="H3" s="18"/>
    </row>
    <row r="4" spans="2:16" x14ac:dyDescent="0.25">
      <c r="B4" s="6" t="s">
        <v>5</v>
      </c>
      <c r="C4" s="6" t="s">
        <v>6</v>
      </c>
      <c r="D4" s="6" t="s">
        <v>11</v>
      </c>
      <c r="E4" s="7"/>
      <c r="F4" s="6" t="s">
        <v>10</v>
      </c>
      <c r="G4" s="6"/>
      <c r="H4" s="6"/>
      <c r="J4" s="6" t="s">
        <v>5</v>
      </c>
      <c r="K4" s="6" t="s">
        <v>6</v>
      </c>
      <c r="L4" s="6" t="s">
        <v>11</v>
      </c>
      <c r="M4" s="3"/>
      <c r="N4" s="6" t="s">
        <v>22</v>
      </c>
      <c r="O4" s="3"/>
      <c r="P4" s="3"/>
    </row>
    <row r="5" spans="2:16" x14ac:dyDescent="0.25">
      <c r="B5" s="50"/>
      <c r="C5" s="6"/>
      <c r="D5" s="6"/>
      <c r="E5" s="7"/>
      <c r="F5" s="3" t="s">
        <v>7</v>
      </c>
      <c r="G5" s="3" t="s">
        <v>8</v>
      </c>
      <c r="H5" s="3" t="s">
        <v>9</v>
      </c>
      <c r="J5" s="52" t="s">
        <v>14</v>
      </c>
      <c r="K5" s="8"/>
      <c r="L5" s="3"/>
      <c r="M5" s="3"/>
      <c r="N5" s="3"/>
      <c r="O5" s="3"/>
      <c r="P5" s="3"/>
    </row>
    <row r="6" spans="2:16" x14ac:dyDescent="0.25">
      <c r="B6" s="51"/>
      <c r="C6" s="6"/>
      <c r="D6" s="6"/>
      <c r="E6" s="7"/>
      <c r="F6" s="9"/>
      <c r="G6" s="5"/>
      <c r="H6" s="9"/>
      <c r="J6" s="6" t="s">
        <v>16</v>
      </c>
      <c r="K6" s="6" t="s">
        <v>6</v>
      </c>
      <c r="L6" s="6" t="s">
        <v>19</v>
      </c>
      <c r="M6" s="6" t="s">
        <v>24</v>
      </c>
      <c r="N6" s="6" t="s">
        <v>7</v>
      </c>
      <c r="O6" s="6" t="s">
        <v>20</v>
      </c>
      <c r="P6" s="6" t="s">
        <v>21</v>
      </c>
    </row>
    <row r="7" spans="2:16" x14ac:dyDescent="0.25">
      <c r="B7" s="51"/>
      <c r="C7" s="6"/>
      <c r="D7" s="6"/>
      <c r="E7" s="7"/>
      <c r="F7" s="6"/>
      <c r="G7" s="6"/>
      <c r="H7" s="5"/>
      <c r="J7" s="5" t="s">
        <v>18</v>
      </c>
      <c r="K7" s="3"/>
      <c r="L7" s="5"/>
      <c r="M7" s="4"/>
      <c r="N7" s="5"/>
      <c r="O7" s="5"/>
      <c r="P7" s="5"/>
    </row>
    <row r="8" spans="2:16" x14ac:dyDescent="0.25">
      <c r="B8" s="50" t="s">
        <v>1</v>
      </c>
      <c r="C8" s="6"/>
      <c r="D8" s="6"/>
      <c r="E8" s="7"/>
      <c r="F8" s="6"/>
      <c r="G8" s="6"/>
      <c r="H8" s="6"/>
      <c r="J8" s="44" t="s">
        <v>55</v>
      </c>
      <c r="K8" s="3"/>
      <c r="L8" s="5">
        <v>10000</v>
      </c>
      <c r="M8" s="4">
        <v>30</v>
      </c>
      <c r="N8" s="5">
        <f t="shared" ref="N8:N12" si="0">M8*L8</f>
        <v>300000</v>
      </c>
      <c r="O8" s="5">
        <v>0</v>
      </c>
      <c r="P8" s="5">
        <f t="shared" ref="P8:P11" si="1">O8+N8</f>
        <v>300000</v>
      </c>
    </row>
    <row r="9" spans="2:16" x14ac:dyDescent="0.25">
      <c r="B9" s="6" t="s">
        <v>15</v>
      </c>
      <c r="C9" s="6"/>
      <c r="D9" s="6" t="s">
        <v>3</v>
      </c>
      <c r="E9" s="7" t="s">
        <v>4</v>
      </c>
      <c r="F9" s="6" t="s">
        <v>7</v>
      </c>
      <c r="G9" s="6" t="s">
        <v>8</v>
      </c>
      <c r="H9" s="6" t="s">
        <v>9</v>
      </c>
      <c r="J9" s="44" t="s">
        <v>54</v>
      </c>
      <c r="K9" s="3" t="s">
        <v>56</v>
      </c>
      <c r="L9" s="5">
        <v>20000</v>
      </c>
      <c r="M9" s="4">
        <v>76</v>
      </c>
      <c r="N9" s="5">
        <f t="shared" si="0"/>
        <v>1520000</v>
      </c>
      <c r="O9" s="5">
        <v>0</v>
      </c>
      <c r="P9" s="5">
        <f t="shared" si="1"/>
        <v>1520000</v>
      </c>
    </row>
    <row r="10" spans="2:16" x14ac:dyDescent="0.25">
      <c r="B10" s="3" t="s">
        <v>65</v>
      </c>
      <c r="C10" s="3"/>
      <c r="D10" s="5">
        <v>950000</v>
      </c>
      <c r="E10" s="4">
        <v>12</v>
      </c>
      <c r="F10" s="5">
        <f t="shared" ref="F10:F16" si="2">E10*D10</f>
        <v>11400000</v>
      </c>
      <c r="G10" s="5">
        <v>0</v>
      </c>
      <c r="H10" s="5">
        <f t="shared" ref="H10:H16" si="3">G10+F10</f>
        <v>11400000</v>
      </c>
      <c r="I10" s="1"/>
      <c r="J10" s="3"/>
      <c r="K10" s="3" t="s">
        <v>57</v>
      </c>
      <c r="L10" s="5">
        <v>5000</v>
      </c>
      <c r="M10" s="4">
        <v>76</v>
      </c>
      <c r="N10" s="5">
        <f t="shared" si="0"/>
        <v>380000</v>
      </c>
      <c r="O10" s="5">
        <v>0</v>
      </c>
      <c r="P10" s="5">
        <f t="shared" si="1"/>
        <v>380000</v>
      </c>
    </row>
    <row r="11" spans="2:16" x14ac:dyDescent="0.25">
      <c r="B11" s="3" t="s">
        <v>13</v>
      </c>
      <c r="C11" s="3"/>
      <c r="D11" s="5">
        <v>160000</v>
      </c>
      <c r="E11" s="4">
        <v>12</v>
      </c>
      <c r="F11" s="5">
        <f t="shared" si="2"/>
        <v>1920000</v>
      </c>
      <c r="G11" s="5">
        <v>0</v>
      </c>
      <c r="H11" s="5">
        <f t="shared" si="3"/>
        <v>1920000</v>
      </c>
      <c r="I11" s="1"/>
      <c r="J11" s="3"/>
      <c r="K11" s="3" t="s">
        <v>58</v>
      </c>
      <c r="L11" s="5">
        <v>200000</v>
      </c>
      <c r="M11" s="4">
        <v>5</v>
      </c>
      <c r="N11" s="5">
        <f t="shared" si="0"/>
        <v>1000000</v>
      </c>
      <c r="O11" s="5">
        <v>0</v>
      </c>
      <c r="P11" s="5">
        <f t="shared" si="1"/>
        <v>1000000</v>
      </c>
    </row>
    <row r="12" spans="2:16" x14ac:dyDescent="0.25">
      <c r="B12" s="3" t="s">
        <v>26</v>
      </c>
      <c r="C12" s="3"/>
      <c r="D12" s="5">
        <v>55000</v>
      </c>
      <c r="E12" s="4">
        <v>12</v>
      </c>
      <c r="F12" s="5">
        <f t="shared" si="2"/>
        <v>660000</v>
      </c>
      <c r="G12" s="5">
        <f>F12*0.27</f>
        <v>178200</v>
      </c>
      <c r="H12" s="5">
        <f t="shared" si="3"/>
        <v>838200</v>
      </c>
      <c r="I12" s="1"/>
      <c r="J12" s="57" t="s">
        <v>76</v>
      </c>
      <c r="K12" s="57" t="s">
        <v>77</v>
      </c>
      <c r="L12" s="56">
        <v>25000</v>
      </c>
      <c r="M12" s="58">
        <v>45</v>
      </c>
      <c r="N12" s="56">
        <f t="shared" si="0"/>
        <v>1125000</v>
      </c>
      <c r="O12" s="56">
        <f>SUM(O8:O11)</f>
        <v>0</v>
      </c>
      <c r="P12" s="56">
        <f t="shared" ref="P12:P13" si="4">O12+N12</f>
        <v>1125000</v>
      </c>
    </row>
    <row r="13" spans="2:16" x14ac:dyDescent="0.25">
      <c r="B13" s="3" t="s">
        <v>12</v>
      </c>
      <c r="C13" s="3"/>
      <c r="D13" s="5">
        <v>26500</v>
      </c>
      <c r="E13" s="4">
        <v>12</v>
      </c>
      <c r="F13" s="5">
        <f t="shared" si="2"/>
        <v>318000</v>
      </c>
      <c r="G13" s="5">
        <f>F13*0.27</f>
        <v>85860</v>
      </c>
      <c r="H13" s="5">
        <f t="shared" si="3"/>
        <v>403860</v>
      </c>
      <c r="I13" s="1"/>
      <c r="J13" s="57"/>
      <c r="K13" s="57" t="s">
        <v>58</v>
      </c>
      <c r="L13" s="56">
        <v>200000</v>
      </c>
      <c r="M13" s="59">
        <v>5</v>
      </c>
      <c r="N13" s="56">
        <f t="shared" ref="N13" si="5">M13*L13</f>
        <v>1000000</v>
      </c>
      <c r="O13" s="56">
        <v>0</v>
      </c>
      <c r="P13" s="56">
        <f t="shared" si="4"/>
        <v>1000000</v>
      </c>
    </row>
    <row r="14" spans="2:16" x14ac:dyDescent="0.25">
      <c r="B14" s="3" t="s">
        <v>27</v>
      </c>
      <c r="C14" s="3"/>
      <c r="D14" s="5">
        <v>50000</v>
      </c>
      <c r="E14" s="4">
        <v>8</v>
      </c>
      <c r="F14" s="5">
        <f t="shared" si="2"/>
        <v>400000</v>
      </c>
      <c r="G14" s="5">
        <f>F14*0.27</f>
        <v>108000</v>
      </c>
      <c r="H14" s="5">
        <f t="shared" si="3"/>
        <v>508000</v>
      </c>
      <c r="I14" s="1"/>
      <c r="J14" s="3" t="s">
        <v>60</v>
      </c>
      <c r="K14" s="3"/>
      <c r="L14" s="3"/>
      <c r="M14" s="3"/>
      <c r="N14" s="5">
        <f>SUM(N8:N13)</f>
        <v>5325000</v>
      </c>
      <c r="O14" s="5">
        <f>SUM(O10:O13)</f>
        <v>0</v>
      </c>
      <c r="P14" s="5">
        <f>SUM(P8:P13)</f>
        <v>5325000</v>
      </c>
    </row>
    <row r="15" spans="2:16" x14ac:dyDescent="0.25">
      <c r="B15" s="3" t="s">
        <v>39</v>
      </c>
      <c r="C15" s="3"/>
      <c r="D15" s="5">
        <v>30000</v>
      </c>
      <c r="E15" s="4">
        <v>12</v>
      </c>
      <c r="F15" s="5">
        <f t="shared" si="2"/>
        <v>360000</v>
      </c>
      <c r="G15" s="5">
        <f>F15*0.27</f>
        <v>97200</v>
      </c>
      <c r="H15" s="5">
        <f t="shared" si="3"/>
        <v>457200</v>
      </c>
      <c r="I15" s="1"/>
      <c r="J15" s="9" t="s">
        <v>66</v>
      </c>
      <c r="K15" s="3"/>
      <c r="L15" s="5"/>
      <c r="M15" s="4"/>
      <c r="N15" s="5"/>
      <c r="O15" s="5"/>
      <c r="P15" s="5"/>
    </row>
    <row r="16" spans="2:16" x14ac:dyDescent="0.25">
      <c r="B16" s="3" t="s">
        <v>38</v>
      </c>
      <c r="C16" s="3"/>
      <c r="D16" s="5">
        <v>1500000</v>
      </c>
      <c r="E16" s="4">
        <v>1</v>
      </c>
      <c r="F16" s="5">
        <f t="shared" si="2"/>
        <v>1500000</v>
      </c>
      <c r="G16" s="5">
        <f>F16*0.27</f>
        <v>405000</v>
      </c>
      <c r="H16" s="5">
        <f t="shared" si="3"/>
        <v>1905000</v>
      </c>
      <c r="I16" s="1"/>
      <c r="J16" s="5" t="s">
        <v>23</v>
      </c>
      <c r="K16" s="3"/>
      <c r="L16" s="5">
        <v>100000</v>
      </c>
      <c r="M16" s="4">
        <v>4</v>
      </c>
      <c r="N16" s="5">
        <f t="shared" ref="N16:N18" si="6">M16*L16</f>
        <v>400000</v>
      </c>
      <c r="O16" s="5">
        <v>0</v>
      </c>
      <c r="P16" s="5">
        <f t="shared" ref="P16:P18" si="7">O16+N16</f>
        <v>400000</v>
      </c>
    </row>
    <row r="17" spans="2:17 16384:16384" x14ac:dyDescent="0.25">
      <c r="B17" s="50" t="s">
        <v>25</v>
      </c>
      <c r="C17" s="3"/>
      <c r="D17" s="5"/>
      <c r="E17" s="4"/>
      <c r="F17" s="9">
        <f>SUM(F10:F16)</f>
        <v>16558000</v>
      </c>
      <c r="G17" s="9">
        <f>SUM(G10:G16)</f>
        <v>874260</v>
      </c>
      <c r="H17" s="9">
        <f>SUM(H10:H16)</f>
        <v>17432260</v>
      </c>
      <c r="I17" s="1"/>
      <c r="J17" s="5" t="s">
        <v>59</v>
      </c>
      <c r="K17" s="3"/>
      <c r="L17" s="5">
        <f>2200000+2000000</f>
        <v>4200000</v>
      </c>
      <c r="M17" s="4">
        <v>1</v>
      </c>
      <c r="N17" s="5">
        <f t="shared" si="6"/>
        <v>4200000</v>
      </c>
      <c r="O17" s="5">
        <v>0</v>
      </c>
      <c r="P17" s="5">
        <f t="shared" si="7"/>
        <v>4200000</v>
      </c>
      <c r="XFD17" s="5"/>
    </row>
    <row r="18" spans="2:17 16384:16384" x14ac:dyDescent="0.25">
      <c r="B18" s="50"/>
      <c r="C18" s="3"/>
      <c r="D18" s="5"/>
      <c r="E18" s="4"/>
      <c r="F18" s="9"/>
      <c r="G18" s="9"/>
      <c r="H18" s="9"/>
      <c r="I18" s="1"/>
      <c r="J18" s="27" t="s">
        <v>82</v>
      </c>
      <c r="K18" s="8"/>
      <c r="L18" s="27">
        <v>3170000</v>
      </c>
      <c r="M18" s="64">
        <v>1</v>
      </c>
      <c r="N18" s="27">
        <f t="shared" si="6"/>
        <v>3170000</v>
      </c>
      <c r="O18" s="27">
        <v>0</v>
      </c>
      <c r="P18" s="27">
        <f t="shared" si="7"/>
        <v>3170000</v>
      </c>
      <c r="Q18" s="1">
        <f>F23-N23</f>
        <v>0</v>
      </c>
      <c r="XFD18" s="37"/>
    </row>
    <row r="19" spans="2:17 16384:16384" x14ac:dyDescent="0.25">
      <c r="B19" s="3"/>
      <c r="C19" s="3"/>
      <c r="D19" s="3"/>
      <c r="E19" s="4"/>
      <c r="F19" s="3"/>
      <c r="G19" s="3"/>
      <c r="H19" s="3"/>
      <c r="I19" s="1"/>
      <c r="J19" s="56" t="s">
        <v>83</v>
      </c>
      <c r="K19" s="3"/>
      <c r="L19" s="54">
        <v>500000</v>
      </c>
      <c r="M19" s="55">
        <v>2</v>
      </c>
      <c r="N19" s="54">
        <f>M19*L19</f>
        <v>1000000</v>
      </c>
      <c r="O19" s="54">
        <v>0</v>
      </c>
      <c r="P19" s="54">
        <f t="shared" ref="P19:P20" si="8">O19+N19</f>
        <v>1000000</v>
      </c>
      <c r="XFD19" s="37"/>
    </row>
    <row r="20" spans="2:17 16384:16384" x14ac:dyDescent="0.25">
      <c r="B20" s="3"/>
      <c r="C20" s="3"/>
      <c r="D20" s="3"/>
      <c r="E20" s="4"/>
      <c r="F20" s="3"/>
      <c r="G20" s="3"/>
      <c r="H20" s="3"/>
      <c r="I20" s="1"/>
      <c r="J20" s="56" t="s">
        <v>81</v>
      </c>
      <c r="K20" s="57"/>
      <c r="L20" s="57"/>
      <c r="M20" s="59"/>
      <c r="N20" s="56">
        <v>2463000</v>
      </c>
      <c r="O20" s="56">
        <v>0</v>
      </c>
      <c r="P20" s="56">
        <f t="shared" si="8"/>
        <v>2463000</v>
      </c>
      <c r="XFD20" s="37"/>
    </row>
    <row r="21" spans="2:17 16384:16384" x14ac:dyDescent="0.25">
      <c r="B21" s="3"/>
      <c r="C21" s="3"/>
      <c r="D21" s="5"/>
      <c r="E21" s="4"/>
      <c r="F21" s="5"/>
      <c r="G21" s="5"/>
      <c r="H21" s="5"/>
      <c r="I21" s="1"/>
      <c r="J21" s="60" t="s">
        <v>61</v>
      </c>
      <c r="K21" s="51"/>
      <c r="L21" s="51"/>
      <c r="M21" s="61"/>
      <c r="N21" s="60">
        <f>SUM(N16:N20)</f>
        <v>11233000</v>
      </c>
      <c r="O21" s="60">
        <v>0</v>
      </c>
      <c r="P21" s="60">
        <f>SUM(P16:P20)</f>
        <v>11233000</v>
      </c>
    </row>
    <row r="22" spans="2:17 16384:16384" x14ac:dyDescent="0.25">
      <c r="B22" s="50" t="s">
        <v>52</v>
      </c>
      <c r="C22" s="3"/>
      <c r="D22" s="5"/>
      <c r="E22" s="4"/>
      <c r="F22" s="9">
        <f>F17+F6</f>
        <v>16558000</v>
      </c>
      <c r="G22" s="9">
        <f>G17+G6</f>
        <v>874260</v>
      </c>
      <c r="H22" s="9">
        <f>H17+H6</f>
        <v>17432260</v>
      </c>
      <c r="I22" s="1"/>
      <c r="J22" s="53" t="s">
        <v>51</v>
      </c>
      <c r="K22" s="6"/>
      <c r="L22" s="6"/>
      <c r="M22" s="7"/>
      <c r="N22" s="9">
        <f>N21+N14</f>
        <v>16558000</v>
      </c>
      <c r="O22" s="9">
        <f>SUM(O6:O21)</f>
        <v>0</v>
      </c>
      <c r="P22" s="9">
        <f>P21+P14</f>
        <v>16558000</v>
      </c>
    </row>
    <row r="23" spans="2:17 16384:16384" x14ac:dyDescent="0.25">
      <c r="I23" s="1"/>
    </row>
    <row r="24" spans="2:17 16384:16384" ht="15.75" x14ac:dyDescent="0.25">
      <c r="B24" s="47" t="s">
        <v>63</v>
      </c>
      <c r="C24" s="47"/>
      <c r="D24" s="47"/>
      <c r="E24" s="48"/>
      <c r="F24" s="49">
        <f>N22-F22</f>
        <v>0</v>
      </c>
      <c r="I24" s="1"/>
    </row>
    <row r="25" spans="2:17 16384:16384" x14ac:dyDescent="0.25">
      <c r="I25" s="1"/>
    </row>
    <row r="26" spans="2:17 16384:16384" ht="15.75" thickBot="1" x14ac:dyDescent="0.3">
      <c r="I26" s="1"/>
      <c r="J26" s="45"/>
      <c r="K26" s="28"/>
      <c r="L26" s="28"/>
      <c r="M26" s="29"/>
      <c r="N26" s="28"/>
      <c r="O26" s="28"/>
      <c r="P26" s="46"/>
    </row>
    <row r="27" spans="2:17 16384:16384" x14ac:dyDescent="0.25">
      <c r="B27" s="30" t="s">
        <v>28</v>
      </c>
      <c r="C27" s="17"/>
      <c r="D27" s="17" t="s">
        <v>3</v>
      </c>
      <c r="E27" s="20" t="s">
        <v>4</v>
      </c>
      <c r="F27" s="17" t="s">
        <v>7</v>
      </c>
      <c r="G27" s="17" t="s">
        <v>8</v>
      </c>
      <c r="H27" s="21" t="s">
        <v>9</v>
      </c>
      <c r="I27" s="1"/>
      <c r="J27" s="34" t="s">
        <v>17</v>
      </c>
      <c r="K27" s="10"/>
      <c r="L27" s="10"/>
      <c r="M27" s="31"/>
      <c r="N27" s="17" t="s">
        <v>7</v>
      </c>
      <c r="O27" s="17" t="s">
        <v>8</v>
      </c>
      <c r="P27" s="21" t="s">
        <v>9</v>
      </c>
    </row>
    <row r="28" spans="2:17 16384:16384" x14ac:dyDescent="0.25">
      <c r="B28" s="32"/>
      <c r="C28" s="3"/>
      <c r="D28" s="5"/>
      <c r="E28" s="4"/>
      <c r="F28" s="5"/>
      <c r="G28" s="5"/>
      <c r="H28" s="14"/>
      <c r="I28" s="1"/>
      <c r="J28" s="35"/>
      <c r="K28" s="3"/>
      <c r="L28" s="3"/>
      <c r="M28" s="4"/>
      <c r="N28" s="3"/>
      <c r="O28" s="3"/>
      <c r="P28" s="12"/>
    </row>
    <row r="29" spans="2:17 16384:16384" x14ac:dyDescent="0.25">
      <c r="B29" s="32" t="s">
        <v>71</v>
      </c>
      <c r="C29" s="3"/>
      <c r="D29" s="5"/>
      <c r="E29" s="4"/>
      <c r="F29" s="5"/>
      <c r="G29" s="5"/>
      <c r="H29" s="14"/>
      <c r="I29" s="1"/>
      <c r="J29" s="13" t="s">
        <v>72</v>
      </c>
      <c r="K29" s="3"/>
      <c r="L29" s="3"/>
      <c r="M29" s="4"/>
      <c r="N29" s="5"/>
      <c r="O29" s="5"/>
      <c r="P29" s="14"/>
    </row>
    <row r="30" spans="2:17 16384:16384" x14ac:dyDescent="0.25">
      <c r="B30" s="11" t="s">
        <v>68</v>
      </c>
      <c r="C30" s="3"/>
      <c r="D30" s="5">
        <v>700000</v>
      </c>
      <c r="E30" s="4">
        <v>6</v>
      </c>
      <c r="F30" s="5">
        <f t="shared" ref="F30" si="9">E30*D30</f>
        <v>4200000</v>
      </c>
      <c r="G30" s="5">
        <f>F30*0.27</f>
        <v>1134000</v>
      </c>
      <c r="H30" s="5">
        <f t="shared" ref="H30" si="10">G30+F30</f>
        <v>5334000</v>
      </c>
      <c r="I30" s="1"/>
      <c r="J30" s="13"/>
      <c r="K30" s="3"/>
      <c r="L30" s="3"/>
      <c r="M30" s="4"/>
      <c r="N30" s="5"/>
      <c r="O30" s="5"/>
      <c r="P30" s="14"/>
    </row>
    <row r="31" spans="2:17 16384:16384" x14ac:dyDescent="0.25">
      <c r="B31" s="11" t="s">
        <v>69</v>
      </c>
      <c r="C31" s="3"/>
      <c r="D31" s="5">
        <v>350000</v>
      </c>
      <c r="E31" s="4">
        <v>8</v>
      </c>
      <c r="F31" s="5">
        <f t="shared" ref="F31" si="11">E31*D31</f>
        <v>2800000</v>
      </c>
      <c r="G31" s="5">
        <f>F31*0.27</f>
        <v>756000</v>
      </c>
      <c r="H31" s="5">
        <f t="shared" ref="H31" si="12">G31+F31</f>
        <v>3556000</v>
      </c>
      <c r="I31" s="1"/>
      <c r="J31" s="13"/>
      <c r="K31" s="3"/>
      <c r="L31" s="3"/>
      <c r="M31" s="4"/>
      <c r="N31" s="5"/>
      <c r="O31" s="5"/>
      <c r="P31" s="14"/>
    </row>
    <row r="32" spans="2:17 16384:16384" x14ac:dyDescent="0.25">
      <c r="B32" s="11" t="s">
        <v>70</v>
      </c>
      <c r="C32" s="3"/>
      <c r="D32" s="5">
        <v>300000</v>
      </c>
      <c r="E32" s="4">
        <v>12</v>
      </c>
      <c r="F32" s="5">
        <f t="shared" ref="F32" si="13">E32*D32</f>
        <v>3600000</v>
      </c>
      <c r="G32" s="5">
        <f>F32*0.27</f>
        <v>972000.00000000012</v>
      </c>
      <c r="H32" s="5">
        <f t="shared" ref="H32" si="14">G32+F32</f>
        <v>4572000</v>
      </c>
      <c r="I32" s="1"/>
      <c r="J32" s="13"/>
      <c r="K32" s="3"/>
      <c r="L32" s="3"/>
      <c r="M32" s="4"/>
      <c r="N32" s="5"/>
      <c r="O32" s="5"/>
      <c r="P32" s="14"/>
    </row>
    <row r="33" spans="2:16" x14ac:dyDescent="0.25">
      <c r="B33" s="11"/>
      <c r="C33" s="3"/>
      <c r="D33" s="5"/>
      <c r="E33" s="4"/>
      <c r="F33" s="5"/>
      <c r="G33" s="5"/>
      <c r="H33" s="14"/>
      <c r="I33" s="1"/>
      <c r="J33" s="13"/>
      <c r="K33" s="3"/>
      <c r="L33" s="3"/>
      <c r="M33" s="4"/>
      <c r="N33" s="5"/>
      <c r="O33" s="5"/>
      <c r="P33" s="14"/>
    </row>
    <row r="34" spans="2:16" x14ac:dyDescent="0.25">
      <c r="B34" s="32" t="s">
        <v>73</v>
      </c>
      <c r="C34" s="3"/>
      <c r="D34" s="5"/>
      <c r="E34" s="4"/>
      <c r="F34" s="5"/>
      <c r="G34" s="5"/>
      <c r="H34" s="14"/>
      <c r="J34" s="13"/>
      <c r="K34" s="3"/>
      <c r="L34" s="3"/>
      <c r="M34" s="4"/>
      <c r="N34" s="5"/>
      <c r="O34" s="5"/>
      <c r="P34" s="14"/>
    </row>
    <row r="35" spans="2:16" x14ac:dyDescent="0.25">
      <c r="B35" s="11" t="s">
        <v>75</v>
      </c>
      <c r="C35" s="3"/>
      <c r="D35" s="5"/>
      <c r="E35" s="4"/>
      <c r="F35" s="5">
        <f>H35/1.27</f>
        <v>6299212.5984251965</v>
      </c>
      <c r="G35" s="5">
        <f>F35*0.27</f>
        <v>1700787.4015748031</v>
      </c>
      <c r="H35" s="5">
        <v>8000000</v>
      </c>
      <c r="J35" s="63" t="s">
        <v>74</v>
      </c>
      <c r="K35" s="57"/>
      <c r="L35" s="57"/>
      <c r="M35" s="59"/>
      <c r="N35" s="56">
        <v>5000000</v>
      </c>
      <c r="O35" s="57">
        <v>0</v>
      </c>
      <c r="P35" s="65">
        <f>N35</f>
        <v>5000000</v>
      </c>
    </row>
    <row r="36" spans="2:16" x14ac:dyDescent="0.25">
      <c r="B36" s="62" t="s">
        <v>78</v>
      </c>
      <c r="C36" s="6"/>
      <c r="D36" s="9"/>
      <c r="E36" s="7"/>
      <c r="F36" s="27">
        <v>2000000</v>
      </c>
      <c r="G36" s="27">
        <v>0</v>
      </c>
      <c r="H36" s="27">
        <f t="shared" ref="H36" si="15">G36+F36</f>
        <v>2000000</v>
      </c>
      <c r="J36" s="63" t="s">
        <v>84</v>
      </c>
      <c r="K36" s="50"/>
      <c r="L36" s="50"/>
      <c r="M36" s="55"/>
      <c r="N36" s="56">
        <v>5000000</v>
      </c>
      <c r="O36" s="57">
        <v>0</v>
      </c>
      <c r="P36" s="65">
        <f>N36</f>
        <v>5000000</v>
      </c>
    </row>
    <row r="37" spans="2:16" x14ac:dyDescent="0.25">
      <c r="B37" s="32"/>
      <c r="C37" s="3"/>
      <c r="D37" s="5"/>
      <c r="E37" s="4"/>
      <c r="F37" s="5"/>
      <c r="G37" s="5"/>
      <c r="H37" s="14"/>
      <c r="J37" s="13"/>
      <c r="K37" s="3"/>
      <c r="L37" s="3"/>
      <c r="M37" s="4"/>
      <c r="N37" s="3"/>
      <c r="O37" s="3"/>
      <c r="P37" s="12"/>
    </row>
    <row r="38" spans="2:16" x14ac:dyDescent="0.25">
      <c r="B38" s="32" t="s">
        <v>45</v>
      </c>
      <c r="C38" s="3"/>
      <c r="D38" s="3"/>
      <c r="E38" s="4"/>
      <c r="F38" s="3"/>
      <c r="G38" s="3"/>
      <c r="H38" s="12"/>
      <c r="J38" s="11"/>
      <c r="K38" s="3"/>
      <c r="L38" s="3"/>
      <c r="M38" s="3"/>
      <c r="N38" s="3"/>
      <c r="O38" s="3"/>
      <c r="P38" s="12"/>
    </row>
    <row r="39" spans="2:16" x14ac:dyDescent="0.25">
      <c r="B39" s="11"/>
      <c r="C39" s="27" t="s">
        <v>42</v>
      </c>
      <c r="D39" s="9"/>
      <c r="E39" s="27"/>
      <c r="F39" s="9">
        <v>212288646</v>
      </c>
      <c r="G39" s="9">
        <f>F39*0.27</f>
        <v>57317934.420000002</v>
      </c>
      <c r="H39" s="33">
        <f>G39+F39</f>
        <v>269606580.42000002</v>
      </c>
      <c r="J39" s="35" t="s">
        <v>45</v>
      </c>
      <c r="K39" s="3"/>
      <c r="L39" s="3"/>
      <c r="M39" s="3"/>
      <c r="N39" s="9">
        <f>SUM(N40:N42)</f>
        <v>210688646</v>
      </c>
      <c r="O39" s="9">
        <f>SUM(O40:O42)</f>
        <v>56885934.420000002</v>
      </c>
      <c r="P39" s="9">
        <f>SUM(P40:P42)</f>
        <v>267574580.42000002</v>
      </c>
    </row>
    <row r="40" spans="2:16" x14ac:dyDescent="0.25">
      <c r="B40" s="11"/>
      <c r="C40" s="3"/>
      <c r="D40" s="3"/>
      <c r="E40" s="4"/>
      <c r="F40" s="3"/>
      <c r="G40" s="3"/>
      <c r="H40" s="12"/>
      <c r="J40" s="11"/>
      <c r="K40" s="3" t="s">
        <v>43</v>
      </c>
      <c r="L40" s="3"/>
      <c r="M40" s="3"/>
      <c r="N40" s="5">
        <f>F39*0.95</f>
        <v>201674213.69999999</v>
      </c>
      <c r="O40" s="27">
        <f>N40*0.27</f>
        <v>54452037.699000001</v>
      </c>
      <c r="P40" s="36">
        <f>O40+N40</f>
        <v>256126251.39899999</v>
      </c>
    </row>
    <row r="41" spans="2:16" x14ac:dyDescent="0.25">
      <c r="B41" s="11"/>
      <c r="C41" s="3"/>
      <c r="D41" s="3"/>
      <c r="E41" s="4"/>
      <c r="F41" s="3"/>
      <c r="G41" s="3"/>
      <c r="H41" s="12"/>
      <c r="J41" s="11"/>
      <c r="K41" s="3" t="s">
        <v>44</v>
      </c>
      <c r="L41" s="3"/>
      <c r="M41" s="3"/>
      <c r="N41" s="5">
        <f>F39*0.05</f>
        <v>10614432.300000001</v>
      </c>
      <c r="O41" s="27">
        <f>N41*0.27</f>
        <v>2865896.7210000004</v>
      </c>
      <c r="P41" s="36">
        <f>O41+N41</f>
        <v>13480329.021000002</v>
      </c>
    </row>
    <row r="42" spans="2:16" x14ac:dyDescent="0.25">
      <c r="B42" s="32"/>
      <c r="C42" s="3"/>
      <c r="D42" s="3"/>
      <c r="E42" s="4"/>
      <c r="F42" s="3"/>
      <c r="G42" s="3"/>
      <c r="H42" s="12"/>
      <c r="J42" s="11"/>
      <c r="K42" s="3" t="s">
        <v>67</v>
      </c>
      <c r="L42" s="3"/>
      <c r="M42" s="3"/>
      <c r="N42" s="5">
        <v>-1600000</v>
      </c>
      <c r="O42" s="27">
        <f>N42*0.27</f>
        <v>-432000</v>
      </c>
      <c r="P42" s="36">
        <f>O42+N42</f>
        <v>-2032000</v>
      </c>
    </row>
    <row r="43" spans="2:16" x14ac:dyDescent="0.25">
      <c r="B43" s="32"/>
      <c r="C43" s="3"/>
      <c r="D43" s="3"/>
      <c r="E43" s="4"/>
      <c r="F43" s="9"/>
      <c r="G43" s="3"/>
      <c r="H43" s="12"/>
      <c r="J43" s="11"/>
      <c r="K43" s="3"/>
      <c r="L43" s="3"/>
      <c r="M43" s="3"/>
      <c r="N43" s="3"/>
      <c r="O43" s="3"/>
      <c r="P43" s="12"/>
    </row>
    <row r="44" spans="2:16" x14ac:dyDescent="0.25">
      <c r="B44" s="32" t="s">
        <v>79</v>
      </c>
      <c r="C44" s="3"/>
      <c r="D44" s="3"/>
      <c r="E44" s="4"/>
      <c r="F44" s="9">
        <v>8300000</v>
      </c>
      <c r="G44" s="9">
        <v>1700000</v>
      </c>
      <c r="H44" s="33">
        <v>10000000</v>
      </c>
      <c r="J44" s="32" t="s">
        <v>80</v>
      </c>
      <c r="K44" s="3"/>
      <c r="L44" s="3"/>
      <c r="M44" s="3"/>
      <c r="N44" s="9">
        <v>8300000</v>
      </c>
      <c r="O44" s="9">
        <v>1700000</v>
      </c>
      <c r="P44" s="33">
        <v>10000000</v>
      </c>
    </row>
    <row r="45" spans="2:16" x14ac:dyDescent="0.25">
      <c r="B45" s="11"/>
      <c r="C45" s="3"/>
      <c r="D45" s="3"/>
      <c r="E45" s="4"/>
      <c r="F45" s="3"/>
      <c r="G45" s="3"/>
      <c r="H45" s="12"/>
      <c r="J45" s="11"/>
      <c r="K45" s="3"/>
      <c r="L45" s="3"/>
      <c r="M45" s="3"/>
      <c r="N45" s="3"/>
      <c r="O45" s="3"/>
      <c r="P45" s="12"/>
    </row>
    <row r="46" spans="2:16" ht="15.75" thickBot="1" x14ac:dyDescent="0.3">
      <c r="B46" s="25" t="s">
        <v>49</v>
      </c>
      <c r="C46" s="22"/>
      <c r="D46" s="22"/>
      <c r="E46" s="23"/>
      <c r="F46" s="15">
        <f>SUM(F30:F45)</f>
        <v>239487858.59842521</v>
      </c>
      <c r="G46" s="15">
        <f>SUM(G30:G45)</f>
        <v>63580721.821574807</v>
      </c>
      <c r="H46" s="15">
        <f>SUM(H30:H45)</f>
        <v>303068580.42000002</v>
      </c>
      <c r="J46" s="26" t="s">
        <v>50</v>
      </c>
      <c r="K46" s="22"/>
      <c r="L46" s="22"/>
      <c r="M46" s="22"/>
      <c r="N46" s="15">
        <f>N39+N44+N35</f>
        <v>223988646</v>
      </c>
      <c r="O46" s="15">
        <f>O39+O44+O35</f>
        <v>58585934.420000002</v>
      </c>
      <c r="P46" s="15">
        <f>P39+P44+P35</f>
        <v>282574580.42000002</v>
      </c>
    </row>
    <row r="48" spans="2:16" x14ac:dyDescent="0.25">
      <c r="B48" s="41"/>
      <c r="C48" s="41"/>
      <c r="D48" s="41"/>
      <c r="E48" s="42"/>
      <c r="F48" s="43"/>
      <c r="G48" s="43"/>
      <c r="H48" s="43"/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XFD84"/>
  <sheetViews>
    <sheetView zoomScale="90" zoomScaleNormal="90" workbookViewId="0">
      <selection activeCell="N20" sqref="N20"/>
    </sheetView>
  </sheetViews>
  <sheetFormatPr defaultRowHeight="15" x14ac:dyDescent="0.25"/>
  <cols>
    <col min="1" max="1" width="1.85546875" customWidth="1"/>
    <col min="2" max="2" width="15" customWidth="1"/>
    <col min="3" max="3" width="14.7109375" customWidth="1"/>
    <col min="4" max="4" width="13.5703125" customWidth="1"/>
    <col min="5" max="5" width="14.42578125" style="2" customWidth="1"/>
    <col min="6" max="6" width="14.28515625" bestFit="1" customWidth="1"/>
    <col min="7" max="7" width="13.140625" bestFit="1" customWidth="1"/>
    <col min="8" max="8" width="14.28515625" bestFit="1" customWidth="1"/>
    <col min="9" max="9" width="3" customWidth="1"/>
    <col min="10" max="10" width="20.140625" customWidth="1"/>
    <col min="12" max="12" width="12.7109375" bestFit="1" customWidth="1"/>
    <col min="14" max="14" width="14.28515625" bestFit="1" customWidth="1"/>
    <col min="15" max="15" width="13.140625" bestFit="1" customWidth="1"/>
    <col min="16" max="16" width="14.28515625" bestFit="1" customWidth="1"/>
    <col min="17" max="17" width="3.42578125" customWidth="1"/>
    <col min="18" max="18" width="19.42578125" customWidth="1"/>
    <col min="19" max="19" width="9.42578125" style="83" customWidth="1"/>
    <col min="20" max="20" width="17.7109375" customWidth="1"/>
    <col min="21" max="23" width="11" bestFit="1" customWidth="1"/>
    <col min="24" max="24" width="10.28515625" bestFit="1" customWidth="1"/>
    <col min="25" max="25" width="11" bestFit="1" customWidth="1"/>
    <col min="26" max="26" width="11.85546875" bestFit="1" customWidth="1"/>
  </cols>
  <sheetData>
    <row r="3" spans="2:25" ht="18.75" x14ac:dyDescent="0.3">
      <c r="B3" s="24" t="s">
        <v>119</v>
      </c>
      <c r="C3" s="18"/>
      <c r="D3" s="18"/>
      <c r="E3" s="19"/>
      <c r="F3" s="18"/>
      <c r="G3" s="18"/>
      <c r="H3" s="18"/>
    </row>
    <row r="4" spans="2:25" ht="18.75" x14ac:dyDescent="0.3">
      <c r="B4" s="6" t="s">
        <v>5</v>
      </c>
      <c r="C4" s="6" t="s">
        <v>6</v>
      </c>
      <c r="D4" s="6" t="s">
        <v>11</v>
      </c>
      <c r="E4" s="7"/>
      <c r="F4" s="6" t="s">
        <v>10</v>
      </c>
      <c r="G4" s="6"/>
      <c r="H4" s="6"/>
      <c r="J4" s="6" t="s">
        <v>5</v>
      </c>
      <c r="K4" s="6" t="s">
        <v>6</v>
      </c>
      <c r="L4" s="6" t="s">
        <v>11</v>
      </c>
      <c r="M4" s="3"/>
      <c r="N4" s="6" t="s">
        <v>22</v>
      </c>
      <c r="O4" s="3"/>
      <c r="P4" s="3"/>
      <c r="R4" s="80" t="s">
        <v>118</v>
      </c>
    </row>
    <row r="5" spans="2:25" ht="18.75" x14ac:dyDescent="0.3">
      <c r="B5" s="78" t="s">
        <v>1</v>
      </c>
      <c r="C5" s="6"/>
      <c r="D5" s="6"/>
      <c r="E5" s="7"/>
      <c r="F5" s="3"/>
      <c r="G5" s="3"/>
      <c r="H5" s="3"/>
      <c r="J5" s="79" t="s">
        <v>14</v>
      </c>
      <c r="K5" s="8"/>
      <c r="L5" s="3"/>
      <c r="M5" s="3"/>
      <c r="N5" s="3"/>
      <c r="O5" s="3"/>
      <c r="P5" s="3"/>
    </row>
    <row r="6" spans="2:25" x14ac:dyDescent="0.25">
      <c r="B6" s="51"/>
      <c r="C6" s="6"/>
      <c r="D6" s="6"/>
      <c r="E6" s="7"/>
      <c r="F6" s="9"/>
      <c r="G6" s="5"/>
      <c r="H6" s="9"/>
      <c r="J6" s="6" t="s">
        <v>16</v>
      </c>
      <c r="K6" s="6" t="s">
        <v>6</v>
      </c>
      <c r="L6" s="6" t="s">
        <v>19</v>
      </c>
      <c r="M6" s="6" t="s">
        <v>24</v>
      </c>
      <c r="N6" s="6" t="s">
        <v>7</v>
      </c>
      <c r="O6" s="6" t="s">
        <v>20</v>
      </c>
      <c r="P6" s="6" t="s">
        <v>21</v>
      </c>
      <c r="R6" s="81" t="s">
        <v>91</v>
      </c>
      <c r="S6" s="84"/>
      <c r="T6" s="6"/>
      <c r="U6" s="6"/>
      <c r="V6" s="6"/>
      <c r="W6" s="6"/>
      <c r="X6" s="6"/>
      <c r="Y6" s="6"/>
    </row>
    <row r="7" spans="2:25" x14ac:dyDescent="0.25">
      <c r="B7" s="51"/>
      <c r="C7" s="6"/>
      <c r="D7" s="6"/>
      <c r="E7" s="7"/>
      <c r="F7" s="6"/>
      <c r="G7" s="6"/>
      <c r="H7" s="5"/>
      <c r="J7" s="5" t="s">
        <v>18</v>
      </c>
      <c r="K7" s="3"/>
      <c r="L7" s="5"/>
      <c r="M7" s="4"/>
      <c r="N7" s="5"/>
      <c r="O7" s="5"/>
      <c r="P7" s="5"/>
      <c r="R7" s="6" t="s">
        <v>92</v>
      </c>
      <c r="S7" s="84" t="s">
        <v>95</v>
      </c>
      <c r="T7" s="6" t="s">
        <v>98</v>
      </c>
      <c r="U7" s="6" t="s">
        <v>93</v>
      </c>
      <c r="V7" s="6" t="s">
        <v>94</v>
      </c>
      <c r="W7" s="6" t="s">
        <v>94</v>
      </c>
      <c r="X7" s="6" t="s">
        <v>124</v>
      </c>
      <c r="Y7" s="6" t="s">
        <v>97</v>
      </c>
    </row>
    <row r="8" spans="2:25" x14ac:dyDescent="0.25">
      <c r="C8" s="6"/>
      <c r="D8" s="6"/>
      <c r="E8" s="7"/>
      <c r="F8" s="6"/>
      <c r="G8" s="6"/>
      <c r="H8" s="6"/>
      <c r="J8" s="44" t="s">
        <v>55</v>
      </c>
      <c r="K8" s="104"/>
      <c r="L8" s="108">
        <v>10000</v>
      </c>
      <c r="M8" s="109">
        <v>30</v>
      </c>
      <c r="N8" s="108">
        <f t="shared" ref="N8:N14" si="0">M8*L8</f>
        <v>300000</v>
      </c>
      <c r="O8" s="108">
        <v>0</v>
      </c>
      <c r="P8" s="108">
        <f t="shared" ref="P8" si="1">O8+N8</f>
        <v>300000</v>
      </c>
      <c r="R8" s="3" t="s">
        <v>106</v>
      </c>
      <c r="S8" s="85">
        <v>8</v>
      </c>
      <c r="T8" s="3" t="s">
        <v>99</v>
      </c>
      <c r="U8" s="3" t="s">
        <v>179</v>
      </c>
      <c r="V8" s="82">
        <v>42826</v>
      </c>
      <c r="W8" s="82">
        <v>42826</v>
      </c>
      <c r="X8" s="5">
        <v>309266</v>
      </c>
      <c r="Y8" s="5">
        <f t="shared" ref="Y8:Y13" si="2">X8*0.225</f>
        <v>69584.850000000006</v>
      </c>
    </row>
    <row r="9" spans="2:25" ht="30" customHeight="1" x14ac:dyDescent="0.25">
      <c r="B9" s="50"/>
      <c r="C9" s="6"/>
      <c r="D9" s="6"/>
      <c r="E9" s="7"/>
      <c r="F9" s="6"/>
      <c r="G9" s="6"/>
      <c r="H9" s="6"/>
      <c r="J9" s="44" t="s">
        <v>126</v>
      </c>
      <c r="K9" s="3"/>
      <c r="L9" s="108"/>
      <c r="M9" s="109"/>
      <c r="N9" s="108"/>
      <c r="O9" s="108"/>
      <c r="P9" s="108">
        <v>2662449</v>
      </c>
      <c r="R9" s="3"/>
      <c r="S9" s="86" t="s">
        <v>120</v>
      </c>
      <c r="T9" s="3" t="s">
        <v>100</v>
      </c>
      <c r="U9" s="3" t="s">
        <v>96</v>
      </c>
      <c r="V9" s="82"/>
      <c r="W9" s="82"/>
      <c r="X9" s="5">
        <v>110744</v>
      </c>
      <c r="Y9" s="5">
        <f t="shared" si="2"/>
        <v>24917.4</v>
      </c>
    </row>
    <row r="10" spans="2:25" x14ac:dyDescent="0.25">
      <c r="B10" s="6" t="s">
        <v>15</v>
      </c>
      <c r="C10" s="6"/>
      <c r="D10" s="6" t="s">
        <v>3</v>
      </c>
      <c r="E10" s="7" t="s">
        <v>4</v>
      </c>
      <c r="F10" s="6" t="s">
        <v>7</v>
      </c>
      <c r="G10" s="6" t="s">
        <v>8</v>
      </c>
      <c r="H10" s="6" t="s">
        <v>9</v>
      </c>
      <c r="J10" s="44" t="s">
        <v>125</v>
      </c>
      <c r="K10" s="104" t="s">
        <v>56</v>
      </c>
      <c r="L10" s="105">
        <v>20000</v>
      </c>
      <c r="M10" s="106">
        <v>76</v>
      </c>
      <c r="N10" s="105">
        <f t="shared" si="0"/>
        <v>1520000</v>
      </c>
      <c r="O10" s="105">
        <v>0</v>
      </c>
      <c r="P10" s="105"/>
      <c r="R10" s="3" t="s">
        <v>180</v>
      </c>
      <c r="S10" s="85">
        <v>4</v>
      </c>
      <c r="T10" s="3" t="s">
        <v>101</v>
      </c>
      <c r="U10" s="3" t="s">
        <v>181</v>
      </c>
      <c r="V10" s="82">
        <v>42750</v>
      </c>
      <c r="W10" s="82">
        <v>43038</v>
      </c>
      <c r="X10" s="5">
        <v>87500</v>
      </c>
      <c r="Y10" s="5">
        <f t="shared" si="2"/>
        <v>19687.5</v>
      </c>
    </row>
    <row r="11" spans="2:25" x14ac:dyDescent="0.25">
      <c r="B11" s="3" t="s">
        <v>65</v>
      </c>
      <c r="C11" s="3"/>
      <c r="D11" s="5">
        <v>1150000</v>
      </c>
      <c r="E11" s="4">
        <v>12</v>
      </c>
      <c r="F11" s="5">
        <f t="shared" ref="F11:F17" si="3">E11*D11</f>
        <v>13800000</v>
      </c>
      <c r="G11" s="5">
        <v>0</v>
      </c>
      <c r="H11" s="5">
        <f t="shared" ref="H11:H17" si="4">G11+F11</f>
        <v>13800000</v>
      </c>
      <c r="I11" s="1"/>
      <c r="J11" s="3"/>
      <c r="K11" s="104" t="s">
        <v>57</v>
      </c>
      <c r="L11" s="105">
        <v>5000</v>
      </c>
      <c r="M11" s="106">
        <v>76</v>
      </c>
      <c r="N11" s="105">
        <f t="shared" si="0"/>
        <v>380000</v>
      </c>
      <c r="O11" s="105">
        <v>0</v>
      </c>
      <c r="P11" s="105"/>
      <c r="R11" s="3" t="s">
        <v>107</v>
      </c>
      <c r="S11" s="85">
        <v>8</v>
      </c>
      <c r="T11" s="3" t="s">
        <v>101</v>
      </c>
      <c r="U11" s="3" t="s">
        <v>181</v>
      </c>
      <c r="V11" s="82">
        <v>42736</v>
      </c>
      <c r="W11" s="82">
        <v>43038</v>
      </c>
      <c r="X11" s="5">
        <v>175000</v>
      </c>
      <c r="Y11" s="5">
        <f t="shared" si="2"/>
        <v>39375</v>
      </c>
    </row>
    <row r="12" spans="2:25" x14ac:dyDescent="0.25">
      <c r="B12" s="3" t="s">
        <v>13</v>
      </c>
      <c r="C12" s="3"/>
      <c r="D12" s="5">
        <v>160000</v>
      </c>
      <c r="E12" s="4">
        <v>12</v>
      </c>
      <c r="F12" s="5">
        <f t="shared" si="3"/>
        <v>1920000</v>
      </c>
      <c r="G12" s="5">
        <v>0</v>
      </c>
      <c r="H12" s="5">
        <f t="shared" si="4"/>
        <v>1920000</v>
      </c>
      <c r="I12" s="1"/>
      <c r="J12" s="3"/>
      <c r="K12" s="104" t="s">
        <v>58</v>
      </c>
      <c r="L12" s="105">
        <v>200000</v>
      </c>
      <c r="M12" s="106">
        <v>5</v>
      </c>
      <c r="N12" s="105">
        <f t="shared" si="0"/>
        <v>1000000</v>
      </c>
      <c r="O12" s="105">
        <v>0</v>
      </c>
      <c r="P12" s="105"/>
      <c r="R12" s="3" t="s">
        <v>182</v>
      </c>
      <c r="S12" s="85">
        <v>4</v>
      </c>
      <c r="T12" s="3" t="s">
        <v>102</v>
      </c>
      <c r="U12" s="3"/>
      <c r="V12" s="82">
        <v>42781</v>
      </c>
      <c r="W12" s="3"/>
      <c r="X12" s="5">
        <v>90000</v>
      </c>
      <c r="Y12" s="5">
        <f t="shared" si="2"/>
        <v>20250</v>
      </c>
    </row>
    <row r="13" spans="2:25" x14ac:dyDescent="0.25">
      <c r="B13" s="3" t="s">
        <v>26</v>
      </c>
      <c r="C13" s="3"/>
      <c r="D13" s="5">
        <v>55000</v>
      </c>
      <c r="E13" s="4">
        <v>12</v>
      </c>
      <c r="F13" s="5">
        <f t="shared" si="3"/>
        <v>660000</v>
      </c>
      <c r="G13" s="5">
        <f>F13*0.27</f>
        <v>178200</v>
      </c>
      <c r="H13" s="5">
        <f t="shared" si="4"/>
        <v>838200</v>
      </c>
      <c r="I13" s="1"/>
      <c r="J13" s="104" t="s">
        <v>76</v>
      </c>
      <c r="K13" s="104" t="s">
        <v>77</v>
      </c>
      <c r="L13" s="105">
        <v>25000</v>
      </c>
      <c r="M13" s="107">
        <v>45</v>
      </c>
      <c r="N13" s="105">
        <f t="shared" si="0"/>
        <v>1125000</v>
      </c>
      <c r="O13" s="105">
        <f>SUM(O8:O12)</f>
        <v>0</v>
      </c>
      <c r="P13" s="105"/>
      <c r="R13" s="3" t="s">
        <v>108</v>
      </c>
      <c r="S13" s="85">
        <v>8</v>
      </c>
      <c r="T13" s="3" t="s">
        <v>102</v>
      </c>
      <c r="U13" s="3"/>
      <c r="V13" s="82">
        <v>42858</v>
      </c>
      <c r="W13" s="3"/>
      <c r="X13" s="5">
        <v>165000</v>
      </c>
      <c r="Y13" s="5">
        <f t="shared" si="2"/>
        <v>37125</v>
      </c>
    </row>
    <row r="14" spans="2:25" x14ac:dyDescent="0.25">
      <c r="B14" s="3" t="s">
        <v>12</v>
      </c>
      <c r="C14" s="3"/>
      <c r="D14" s="5">
        <v>26500</v>
      </c>
      <c r="E14" s="4">
        <v>12</v>
      </c>
      <c r="F14" s="5">
        <f t="shared" si="3"/>
        <v>318000</v>
      </c>
      <c r="G14" s="5">
        <f>F14*0.27</f>
        <v>85860</v>
      </c>
      <c r="H14" s="5">
        <f t="shared" si="4"/>
        <v>403860</v>
      </c>
      <c r="I14" s="1"/>
      <c r="J14" s="57"/>
      <c r="K14" s="104" t="s">
        <v>58</v>
      </c>
      <c r="L14" s="105">
        <v>200000</v>
      </c>
      <c r="M14" s="106">
        <v>5</v>
      </c>
      <c r="N14" s="105">
        <f t="shared" si="0"/>
        <v>1000000</v>
      </c>
      <c r="O14" s="105">
        <v>0</v>
      </c>
      <c r="P14" s="105"/>
      <c r="R14" s="3"/>
      <c r="S14" s="85"/>
      <c r="T14" s="3"/>
      <c r="U14" s="3"/>
      <c r="V14" s="3"/>
      <c r="W14" s="3"/>
      <c r="X14" s="5"/>
      <c r="Y14" s="5"/>
    </row>
    <row r="15" spans="2:25" x14ac:dyDescent="0.25">
      <c r="B15" s="3" t="s">
        <v>27</v>
      </c>
      <c r="C15" s="3"/>
      <c r="D15" s="5">
        <v>50000</v>
      </c>
      <c r="E15" s="4">
        <v>8</v>
      </c>
      <c r="F15" s="5">
        <f t="shared" si="3"/>
        <v>400000</v>
      </c>
      <c r="G15" s="5">
        <f>F15*0.27</f>
        <v>108000</v>
      </c>
      <c r="H15" s="5">
        <f t="shared" si="4"/>
        <v>508000</v>
      </c>
      <c r="I15" s="1"/>
      <c r="J15" s="3" t="s">
        <v>60</v>
      </c>
      <c r="K15" s="3"/>
      <c r="L15" s="3"/>
      <c r="M15" s="3"/>
      <c r="N15" s="5">
        <f>SUM(N8:N14)</f>
        <v>5325000</v>
      </c>
      <c r="O15" s="5">
        <f>SUM(O11:O14)</f>
        <v>0</v>
      </c>
      <c r="P15" s="5">
        <f>SUM(P8:P14)</f>
        <v>2962449</v>
      </c>
      <c r="R15" s="3" t="s">
        <v>103</v>
      </c>
      <c r="S15" s="85">
        <v>8</v>
      </c>
      <c r="T15" s="3" t="s">
        <v>105</v>
      </c>
      <c r="U15" s="3"/>
      <c r="V15" s="3"/>
      <c r="W15" s="3"/>
      <c r="X15" s="5">
        <v>0</v>
      </c>
      <c r="Y15" s="5">
        <v>0</v>
      </c>
    </row>
    <row r="16" spans="2:25" x14ac:dyDescent="0.25">
      <c r="B16" s="3" t="s">
        <v>39</v>
      </c>
      <c r="C16" s="3"/>
      <c r="D16" s="5">
        <v>30000</v>
      </c>
      <c r="E16" s="4">
        <v>12</v>
      </c>
      <c r="F16" s="5">
        <f t="shared" si="3"/>
        <v>360000</v>
      </c>
      <c r="G16" s="5">
        <f>F16*0.27</f>
        <v>97200</v>
      </c>
      <c r="H16" s="5">
        <f t="shared" si="4"/>
        <v>457200</v>
      </c>
      <c r="I16" s="1"/>
      <c r="J16" s="9" t="s">
        <v>66</v>
      </c>
      <c r="K16" s="3"/>
      <c r="L16" s="5"/>
      <c r="M16" s="4"/>
      <c r="N16" s="5"/>
      <c r="O16" s="5"/>
      <c r="P16" s="5"/>
      <c r="R16" s="3" t="s">
        <v>104</v>
      </c>
      <c r="S16" s="85">
        <v>8</v>
      </c>
      <c r="T16" s="3" t="s">
        <v>105</v>
      </c>
      <c r="U16" s="3"/>
      <c r="V16" s="3"/>
      <c r="W16" s="3"/>
      <c r="X16" s="5">
        <v>0</v>
      </c>
      <c r="Y16" s="5">
        <v>0</v>
      </c>
    </row>
    <row r="17" spans="2:26 16384:16384" x14ac:dyDescent="0.25">
      <c r="B17" s="3" t="s">
        <v>38</v>
      </c>
      <c r="C17" s="3"/>
      <c r="D17" s="5">
        <v>1500000</v>
      </c>
      <c r="E17" s="4">
        <v>1</v>
      </c>
      <c r="F17" s="5">
        <f t="shared" si="3"/>
        <v>1500000</v>
      </c>
      <c r="G17" s="5">
        <f>F17*0.27</f>
        <v>405000</v>
      </c>
      <c r="H17" s="5">
        <f t="shared" si="4"/>
        <v>1905000</v>
      </c>
      <c r="I17" s="1"/>
      <c r="J17" s="5" t="s">
        <v>23</v>
      </c>
      <c r="K17" s="3"/>
      <c r="L17" s="5">
        <v>100000</v>
      </c>
      <c r="M17" s="4">
        <v>4</v>
      </c>
      <c r="N17" s="5">
        <f t="shared" ref="N17:N19" si="5">M17*L17</f>
        <v>400000</v>
      </c>
      <c r="O17" s="5">
        <v>0</v>
      </c>
      <c r="P17" s="5">
        <f t="shared" ref="P17:P32" si="6">O17+N17</f>
        <v>400000</v>
      </c>
      <c r="R17" s="3"/>
      <c r="S17" s="85"/>
      <c r="T17" s="3"/>
      <c r="U17" s="3"/>
      <c r="V17" s="3"/>
      <c r="W17" s="3"/>
      <c r="X17" s="5"/>
      <c r="Y17" s="5"/>
    </row>
    <row r="18" spans="2:26 16384:16384" x14ac:dyDescent="0.25">
      <c r="B18" s="3"/>
      <c r="C18" s="3"/>
      <c r="D18" s="5"/>
      <c r="E18" s="4"/>
      <c r="F18" s="5"/>
      <c r="G18" s="5"/>
      <c r="H18" s="5"/>
      <c r="I18" s="1"/>
      <c r="J18" s="5" t="s">
        <v>121</v>
      </c>
      <c r="K18" s="3"/>
      <c r="L18" s="5">
        <v>500000</v>
      </c>
      <c r="M18" s="4">
        <v>2</v>
      </c>
      <c r="N18" s="5">
        <f t="shared" si="5"/>
        <v>1000000</v>
      </c>
      <c r="O18" s="5">
        <v>0</v>
      </c>
      <c r="P18" s="5">
        <f t="shared" si="6"/>
        <v>1000000</v>
      </c>
      <c r="R18" s="3"/>
      <c r="S18" s="85"/>
      <c r="T18" s="3"/>
      <c r="U18" s="3"/>
      <c r="V18" s="3"/>
      <c r="W18" s="3"/>
      <c r="X18" s="5"/>
      <c r="Y18" s="5"/>
    </row>
    <row r="19" spans="2:26 16384:16384" x14ac:dyDescent="0.25">
      <c r="B19" s="50"/>
      <c r="C19" s="3"/>
      <c r="D19" s="5"/>
      <c r="E19" s="4"/>
      <c r="F19" s="9"/>
      <c r="G19" s="9"/>
      <c r="H19" s="9"/>
      <c r="I19" s="1"/>
      <c r="J19" s="27" t="s">
        <v>82</v>
      </c>
      <c r="K19" s="8"/>
      <c r="L19" s="27">
        <v>3470000</v>
      </c>
      <c r="M19" s="64">
        <v>1</v>
      </c>
      <c r="N19" s="27">
        <f t="shared" si="5"/>
        <v>3470000</v>
      </c>
      <c r="O19" s="27">
        <v>0</v>
      </c>
      <c r="P19" s="27">
        <f t="shared" si="6"/>
        <v>3470000</v>
      </c>
      <c r="R19" s="6" t="s">
        <v>109</v>
      </c>
      <c r="S19" s="84">
        <f>SUM(S8:S18)</f>
        <v>48</v>
      </c>
      <c r="T19" s="6" t="s">
        <v>122</v>
      </c>
      <c r="U19" s="6"/>
      <c r="V19" s="6"/>
      <c r="W19" s="6"/>
      <c r="X19" s="9">
        <f>SUM(X8:X17)</f>
        <v>937510</v>
      </c>
      <c r="Y19" s="9">
        <f>SUM(Y8:Y17)</f>
        <v>210939.75</v>
      </c>
      <c r="Z19" s="1"/>
      <c r="XFD19" s="5"/>
    </row>
    <row r="20" spans="2:26 16384:16384" ht="15.75" x14ac:dyDescent="0.25">
      <c r="B20" s="77" t="s">
        <v>25</v>
      </c>
      <c r="C20" s="97"/>
      <c r="D20" s="98"/>
      <c r="E20" s="99"/>
      <c r="F20" s="100">
        <f>SUM(F11:F19)</f>
        <v>18958000</v>
      </c>
      <c r="G20" s="100">
        <f>SUM(G11:G19)</f>
        <v>874260</v>
      </c>
      <c r="H20" s="100">
        <f>SUM(H11:H19)</f>
        <v>19832260</v>
      </c>
      <c r="I20" s="101"/>
      <c r="J20" s="100" t="s">
        <v>90</v>
      </c>
      <c r="K20" s="97"/>
      <c r="L20" s="98"/>
      <c r="M20" s="99"/>
      <c r="N20" s="100">
        <f>SUM(N16:N19)+P15</f>
        <v>7832449</v>
      </c>
      <c r="O20" s="100">
        <f>SUM(O15:O19)</f>
        <v>0</v>
      </c>
      <c r="P20" s="100">
        <f>SUM(P15:P19)</f>
        <v>7832449</v>
      </c>
      <c r="Q20" s="1"/>
      <c r="R20" s="3"/>
      <c r="S20" s="84">
        <f>S19/8</f>
        <v>6</v>
      </c>
      <c r="T20" s="6" t="s">
        <v>123</v>
      </c>
      <c r="U20" s="3"/>
      <c r="V20" s="3"/>
      <c r="W20" s="3"/>
      <c r="X20" s="3"/>
      <c r="Y20" s="3"/>
      <c r="XFD20" s="37"/>
    </row>
    <row r="21" spans="2:26 16384:16384" ht="15.75" x14ac:dyDescent="0.25">
      <c r="B21" s="77" t="s">
        <v>112</v>
      </c>
      <c r="C21" s="77"/>
      <c r="D21" s="100"/>
      <c r="E21" s="102"/>
      <c r="F21" s="100"/>
      <c r="G21" s="100"/>
      <c r="H21" s="100">
        <f>H20-P20</f>
        <v>11999811</v>
      </c>
      <c r="I21" s="103"/>
      <c r="J21" s="100" t="s">
        <v>112</v>
      </c>
      <c r="K21" s="77"/>
      <c r="L21" s="100"/>
      <c r="M21" s="102"/>
      <c r="N21" s="100"/>
      <c r="O21" s="100"/>
      <c r="P21" s="100">
        <f>P20-H20</f>
        <v>-11999811</v>
      </c>
      <c r="Q21" s="1"/>
      <c r="XFD21" s="37"/>
    </row>
    <row r="22" spans="2:26 16384:16384" x14ac:dyDescent="0.25">
      <c r="B22" s="51"/>
      <c r="C22" s="6"/>
      <c r="D22" s="9"/>
      <c r="E22" s="7"/>
      <c r="F22" s="9"/>
      <c r="G22" s="9"/>
      <c r="H22" s="9"/>
      <c r="I22" s="76"/>
      <c r="J22" s="9"/>
      <c r="K22" s="6"/>
      <c r="L22" s="9"/>
      <c r="M22" s="7"/>
      <c r="N22" s="9"/>
      <c r="O22" s="9"/>
      <c r="P22" s="9"/>
      <c r="Q22" s="1"/>
      <c r="XFD22" s="37"/>
    </row>
    <row r="23" spans="2:26 16384:16384" x14ac:dyDescent="0.25">
      <c r="B23" s="50" t="s">
        <v>183</v>
      </c>
      <c r="C23" s="3"/>
      <c r="D23" s="5"/>
      <c r="E23" s="4"/>
      <c r="F23" s="9"/>
      <c r="G23" s="9"/>
      <c r="H23" s="9"/>
      <c r="I23" s="1"/>
      <c r="J23" s="54" t="s">
        <v>184</v>
      </c>
      <c r="K23" s="8"/>
      <c r="L23" s="27"/>
      <c r="M23" s="64"/>
      <c r="N23" s="27"/>
      <c r="O23" s="27"/>
      <c r="P23" s="27"/>
      <c r="Q23" s="1"/>
      <c r="XFD23" s="37"/>
    </row>
    <row r="24" spans="2:26 16384:16384" x14ac:dyDescent="0.25">
      <c r="B24" s="51" t="s">
        <v>185</v>
      </c>
      <c r="C24" s="3"/>
      <c r="D24" s="5"/>
      <c r="E24" s="4"/>
      <c r="F24" s="9"/>
      <c r="G24" s="9"/>
      <c r="H24" s="9"/>
      <c r="I24" s="1"/>
      <c r="J24" s="9" t="s">
        <v>87</v>
      </c>
      <c r="K24" s="8"/>
      <c r="L24" s="27"/>
      <c r="M24" s="64"/>
      <c r="N24" s="27"/>
      <c r="O24" s="27"/>
      <c r="P24" s="27"/>
      <c r="Q24" s="1"/>
      <c r="XFD24" s="37"/>
    </row>
    <row r="25" spans="2:26 16384:16384" x14ac:dyDescent="0.25">
      <c r="B25" s="69" t="s">
        <v>186</v>
      </c>
      <c r="C25" s="3" t="s">
        <v>88</v>
      </c>
      <c r="D25" s="5"/>
      <c r="E25" s="4">
        <v>10</v>
      </c>
      <c r="F25" s="5">
        <f>H25-G25</f>
        <v>0</v>
      </c>
      <c r="G25" s="5">
        <f>0</f>
        <v>0</v>
      </c>
      <c r="H25" s="5">
        <f>E25*D25</f>
        <v>0</v>
      </c>
      <c r="I25" s="1"/>
      <c r="J25" s="27" t="s">
        <v>187</v>
      </c>
      <c r="K25" s="3" t="s">
        <v>88</v>
      </c>
      <c r="L25" s="5">
        <f>X10+Y10+Y11+X11</f>
        <v>321562.5</v>
      </c>
      <c r="M25" s="4">
        <v>9.6761900000000001</v>
      </c>
      <c r="N25" s="5">
        <f>P25-O25</f>
        <v>3111499.8468749998</v>
      </c>
      <c r="O25" s="5">
        <f>0</f>
        <v>0</v>
      </c>
      <c r="P25" s="5">
        <f>M25*L25</f>
        <v>3111499.8468749998</v>
      </c>
      <c r="Q25" s="1"/>
      <c r="XFD25" s="37"/>
    </row>
    <row r="26" spans="2:26 16384:16384" x14ac:dyDescent="0.25">
      <c r="B26" s="50"/>
      <c r="C26" s="3" t="s">
        <v>89</v>
      </c>
      <c r="D26" s="5">
        <v>1888500</v>
      </c>
      <c r="E26" s="4">
        <v>1</v>
      </c>
      <c r="F26" s="5">
        <f>H26-G26</f>
        <v>1487007.874015748</v>
      </c>
      <c r="G26" s="5">
        <f>H26/1.27*0.27</f>
        <v>401492.12598425202</v>
      </c>
      <c r="H26" s="5">
        <f>E26*D26</f>
        <v>1888500</v>
      </c>
      <c r="I26" s="1"/>
      <c r="J26" s="27"/>
      <c r="K26" s="3" t="s">
        <v>89</v>
      </c>
      <c r="L26" s="5">
        <v>1888500</v>
      </c>
      <c r="M26" s="4">
        <v>1</v>
      </c>
      <c r="N26" s="5">
        <f>P26-O26</f>
        <v>1487007.874015748</v>
      </c>
      <c r="O26" s="5">
        <f>P26/1.27*0.27</f>
        <v>401492.12598425202</v>
      </c>
      <c r="P26" s="5">
        <f>M26*L26</f>
        <v>1888500</v>
      </c>
      <c r="Q26" s="1"/>
      <c r="XFD26" s="37"/>
    </row>
    <row r="27" spans="2:26 16384:16384" x14ac:dyDescent="0.25">
      <c r="B27" s="51" t="s">
        <v>111</v>
      </c>
      <c r="C27" s="6"/>
      <c r="D27" s="9"/>
      <c r="E27" s="7"/>
      <c r="F27" s="9"/>
      <c r="G27" s="9"/>
      <c r="H27" s="9">
        <f>SUM(H25:H26)</f>
        <v>1888500</v>
      </c>
      <c r="I27" s="76"/>
      <c r="J27" s="9" t="s">
        <v>111</v>
      </c>
      <c r="K27" s="6"/>
      <c r="L27" s="9"/>
      <c r="M27" s="7"/>
      <c r="N27" s="9"/>
      <c r="O27" s="9"/>
      <c r="P27" s="9">
        <f>SUM(P25:P26)</f>
        <v>4999999.8468749998</v>
      </c>
      <c r="Q27" s="1"/>
      <c r="XFD27" s="37"/>
    </row>
    <row r="28" spans="2:26 16384:16384" x14ac:dyDescent="0.25">
      <c r="B28" s="51" t="s">
        <v>112</v>
      </c>
      <c r="C28" s="6"/>
      <c r="D28" s="9"/>
      <c r="E28" s="7"/>
      <c r="F28" s="9"/>
      <c r="G28" s="9"/>
      <c r="H28" s="9">
        <f>H27-P27</f>
        <v>-3111499.8468749998</v>
      </c>
      <c r="I28" s="76"/>
      <c r="J28" s="9" t="s">
        <v>112</v>
      </c>
      <c r="K28" s="6"/>
      <c r="L28" s="9"/>
      <c r="M28" s="7"/>
      <c r="N28" s="9"/>
      <c r="O28" s="9"/>
      <c r="P28" s="9">
        <f>P27-H27</f>
        <v>3111499.8468749998</v>
      </c>
      <c r="Q28" s="1"/>
      <c r="XFD28" s="37"/>
    </row>
    <row r="29" spans="2:26 16384:16384" x14ac:dyDescent="0.25">
      <c r="B29" s="50"/>
      <c r="C29" s="3"/>
      <c r="D29" s="5"/>
      <c r="E29" s="4"/>
      <c r="F29" s="9"/>
      <c r="G29" s="9"/>
      <c r="H29" s="9"/>
      <c r="I29" s="1"/>
      <c r="J29" s="27"/>
      <c r="K29" s="8"/>
      <c r="L29" s="27"/>
      <c r="M29" s="64"/>
      <c r="N29" s="27"/>
      <c r="O29" s="27"/>
      <c r="P29" s="27"/>
      <c r="Q29" s="1"/>
      <c r="XFD29" s="37"/>
    </row>
    <row r="30" spans="2:26 16384:16384" x14ac:dyDescent="0.25">
      <c r="B30" s="51" t="s">
        <v>113</v>
      </c>
      <c r="C30" s="3"/>
      <c r="D30" s="5"/>
      <c r="E30" s="4"/>
      <c r="F30" s="9"/>
      <c r="G30" s="9"/>
      <c r="H30" s="9"/>
      <c r="I30" s="1"/>
      <c r="J30" s="9" t="s">
        <v>62</v>
      </c>
      <c r="K30" s="8"/>
      <c r="L30" s="27"/>
      <c r="M30" s="64"/>
      <c r="N30" s="27"/>
      <c r="O30" s="27"/>
      <c r="P30" s="27"/>
      <c r="Q30" s="1"/>
      <c r="XFD30" s="37"/>
    </row>
    <row r="31" spans="2:26 16384:16384" x14ac:dyDescent="0.25">
      <c r="B31" s="67" t="s">
        <v>86</v>
      </c>
      <c r="C31" s="67" t="s">
        <v>89</v>
      </c>
      <c r="D31" s="66">
        <v>11000000</v>
      </c>
      <c r="E31" s="68">
        <v>1</v>
      </c>
      <c r="F31" s="66">
        <f>H31-G31</f>
        <v>8661417.3228346445</v>
      </c>
      <c r="G31" s="66">
        <f>H31/1.27*0.27</f>
        <v>2338582.6771653546</v>
      </c>
      <c r="H31" s="66">
        <f>E31*D31</f>
        <v>11000000</v>
      </c>
      <c r="I31" s="1"/>
      <c r="J31" s="66" t="s">
        <v>85</v>
      </c>
      <c r="K31" s="67"/>
      <c r="L31" s="66">
        <v>3000000</v>
      </c>
      <c r="M31" s="68">
        <v>1</v>
      </c>
      <c r="N31" s="66">
        <f>M31*L31</f>
        <v>3000000</v>
      </c>
      <c r="O31" s="66">
        <v>0</v>
      </c>
      <c r="P31" s="66">
        <f t="shared" si="6"/>
        <v>3000000</v>
      </c>
      <c r="XFD31" s="37"/>
    </row>
    <row r="32" spans="2:26 16384:16384" x14ac:dyDescent="0.25">
      <c r="B32" s="67"/>
      <c r="C32" s="67"/>
      <c r="D32" s="66"/>
      <c r="E32" s="68"/>
      <c r="F32" s="66"/>
      <c r="G32" s="66"/>
      <c r="H32" s="66"/>
      <c r="I32" s="1"/>
      <c r="J32" s="66" t="s">
        <v>188</v>
      </c>
      <c r="K32" s="67"/>
      <c r="L32" s="66">
        <v>8000000</v>
      </c>
      <c r="M32" s="68">
        <v>1</v>
      </c>
      <c r="N32" s="66">
        <f>M32*L32</f>
        <v>8000000</v>
      </c>
      <c r="O32" s="66">
        <v>0</v>
      </c>
      <c r="P32" s="66">
        <f t="shared" si="6"/>
        <v>8000000</v>
      </c>
      <c r="XFD32" s="37"/>
    </row>
    <row r="33" spans="2:16 16384:16384" x14ac:dyDescent="0.25">
      <c r="B33" s="3"/>
      <c r="C33" s="3" t="s">
        <v>189</v>
      </c>
      <c r="D33" s="5"/>
      <c r="E33" s="4"/>
      <c r="F33" s="5">
        <f>H33-G33</f>
        <v>7300000</v>
      </c>
      <c r="G33" s="5">
        <v>500000</v>
      </c>
      <c r="H33" s="5">
        <v>7800000</v>
      </c>
      <c r="I33" s="1"/>
      <c r="J33" s="3" t="s">
        <v>190</v>
      </c>
      <c r="K33" s="67"/>
      <c r="L33" s="66"/>
      <c r="M33" s="68"/>
      <c r="N33" s="5">
        <f>P33-O33</f>
        <v>7300000</v>
      </c>
      <c r="O33" s="5">
        <v>500000</v>
      </c>
      <c r="P33" s="5">
        <v>7800000</v>
      </c>
      <c r="XFD33" s="37"/>
    </row>
    <row r="34" spans="2:16 16384:16384" x14ac:dyDescent="0.25">
      <c r="B34" s="51" t="s">
        <v>111</v>
      </c>
      <c r="C34" s="6"/>
      <c r="D34" s="9"/>
      <c r="E34" s="7"/>
      <c r="F34" s="9"/>
      <c r="G34" s="9"/>
      <c r="H34" s="9">
        <f>SUM(H31:H33)</f>
        <v>18800000</v>
      </c>
      <c r="I34" s="76"/>
      <c r="J34" s="9" t="s">
        <v>111</v>
      </c>
      <c r="K34" s="6"/>
      <c r="L34" s="9"/>
      <c r="M34" s="7"/>
      <c r="N34" s="9"/>
      <c r="O34" s="9"/>
      <c r="P34" s="9">
        <f>SUM(P31:P33)</f>
        <v>18800000</v>
      </c>
      <c r="XFD34" s="37"/>
    </row>
    <row r="35" spans="2:16 16384:16384" x14ac:dyDescent="0.25">
      <c r="B35" s="51" t="s">
        <v>112</v>
      </c>
      <c r="C35" s="6"/>
      <c r="D35" s="9"/>
      <c r="E35" s="7"/>
      <c r="F35" s="9"/>
      <c r="G35" s="9"/>
      <c r="H35" s="9">
        <f>H34-P34</f>
        <v>0</v>
      </c>
      <c r="I35" s="76"/>
      <c r="J35" s="9" t="s">
        <v>112</v>
      </c>
      <c r="K35" s="6"/>
      <c r="L35" s="9"/>
      <c r="M35" s="7"/>
      <c r="N35" s="9"/>
      <c r="O35" s="9"/>
      <c r="P35" s="9">
        <f>P34-H34</f>
        <v>0</v>
      </c>
      <c r="XFD35" s="37"/>
    </row>
    <row r="36" spans="2:16 16384:16384" x14ac:dyDescent="0.25">
      <c r="B36" s="51"/>
      <c r="C36" s="6"/>
      <c r="D36" s="9"/>
      <c r="E36" s="7"/>
      <c r="F36" s="9"/>
      <c r="G36" s="9"/>
      <c r="H36" s="9"/>
      <c r="I36" s="76"/>
      <c r="J36" s="9"/>
      <c r="K36" s="6"/>
      <c r="L36" s="9"/>
      <c r="M36" s="7"/>
      <c r="N36" s="9"/>
      <c r="O36" s="9"/>
      <c r="P36" s="9"/>
      <c r="XFD36" s="37"/>
    </row>
    <row r="37" spans="2:16 16384:16384" x14ac:dyDescent="0.25">
      <c r="B37" s="51"/>
      <c r="C37" s="6"/>
      <c r="D37" s="9"/>
      <c r="E37" s="7"/>
      <c r="F37" s="9"/>
      <c r="G37" s="9"/>
      <c r="H37" s="9"/>
      <c r="I37" s="76"/>
      <c r="J37" s="9"/>
      <c r="K37" s="6"/>
      <c r="L37" s="9"/>
      <c r="M37" s="7"/>
      <c r="N37" s="9"/>
      <c r="O37" s="9"/>
      <c r="P37" s="9"/>
      <c r="XFD37" s="37"/>
    </row>
    <row r="38" spans="2:16 16384:16384" x14ac:dyDescent="0.25">
      <c r="B38" s="50" t="s">
        <v>110</v>
      </c>
      <c r="C38" s="3"/>
      <c r="D38" s="3"/>
      <c r="E38" s="4"/>
      <c r="F38" s="3"/>
      <c r="G38" s="3"/>
      <c r="H38" s="3"/>
      <c r="I38" s="1"/>
      <c r="J38" s="50" t="s">
        <v>110</v>
      </c>
      <c r="K38" s="67"/>
      <c r="L38" s="66"/>
      <c r="M38" s="68"/>
      <c r="N38" s="66"/>
      <c r="O38" s="66"/>
      <c r="P38" s="66"/>
      <c r="XFD38" s="37"/>
    </row>
    <row r="39" spans="2:16 16384:16384" x14ac:dyDescent="0.25">
      <c r="B39" s="6" t="s">
        <v>191</v>
      </c>
      <c r="C39" s="3"/>
      <c r="D39" s="5"/>
      <c r="E39" s="4"/>
      <c r="F39" s="5"/>
      <c r="G39" s="5"/>
      <c r="H39" s="5"/>
      <c r="I39" s="1"/>
      <c r="J39" s="6" t="s">
        <v>191</v>
      </c>
      <c r="K39" s="51"/>
      <c r="L39" s="51"/>
      <c r="M39" s="61"/>
      <c r="N39" s="60"/>
      <c r="O39" s="60"/>
      <c r="P39" s="60"/>
    </row>
    <row r="40" spans="2:16 16384:16384" x14ac:dyDescent="0.25">
      <c r="B40" s="69" t="s">
        <v>192</v>
      </c>
      <c r="C40" s="3"/>
      <c r="D40" s="5"/>
      <c r="E40" s="4"/>
      <c r="F40" s="5"/>
      <c r="G40" s="5"/>
      <c r="H40" s="5"/>
      <c r="I40" s="1"/>
      <c r="J40" s="69" t="s">
        <v>192</v>
      </c>
      <c r="K40" s="6"/>
      <c r="L40" s="6"/>
      <c r="M40" s="7"/>
      <c r="N40" s="9"/>
      <c r="O40" s="9"/>
      <c r="P40" s="9"/>
    </row>
    <row r="41" spans="2:16 16384:16384" x14ac:dyDescent="0.25">
      <c r="B41" s="69"/>
      <c r="C41" s="3" t="s">
        <v>88</v>
      </c>
      <c r="D41" s="5">
        <v>0</v>
      </c>
      <c r="E41" s="4">
        <v>9</v>
      </c>
      <c r="F41" s="5">
        <f>H41-G41</f>
        <v>0</v>
      </c>
      <c r="G41" s="5">
        <f>0</f>
        <v>0</v>
      </c>
      <c r="H41" s="5">
        <f>E41*D41</f>
        <v>0</v>
      </c>
      <c r="I41" s="1"/>
      <c r="J41" s="53"/>
      <c r="K41" s="3" t="s">
        <v>88</v>
      </c>
      <c r="L41" s="5">
        <f>(X8+Y8)</f>
        <v>378850.85</v>
      </c>
      <c r="M41" s="4">
        <v>9</v>
      </c>
      <c r="N41" s="5">
        <f>P41-O41</f>
        <v>3409657.65</v>
      </c>
      <c r="O41" s="5">
        <f>0</f>
        <v>0</v>
      </c>
      <c r="P41" s="5">
        <f>M41*L41</f>
        <v>3409657.65</v>
      </c>
    </row>
    <row r="42" spans="2:16 16384:16384" x14ac:dyDescent="0.25">
      <c r="B42" s="69"/>
      <c r="C42" s="3" t="s">
        <v>193</v>
      </c>
      <c r="D42" s="5">
        <v>2000000</v>
      </c>
      <c r="E42" s="4">
        <v>1</v>
      </c>
      <c r="F42" s="5">
        <f>H42-G42</f>
        <v>1574803.1496062991</v>
      </c>
      <c r="G42" s="5">
        <f>H42/1.27*0.27</f>
        <v>425196.85039370076</v>
      </c>
      <c r="H42" s="5">
        <f>E42*D42</f>
        <v>2000000</v>
      </c>
      <c r="I42" s="1"/>
      <c r="J42" s="53"/>
      <c r="K42" s="3" t="s">
        <v>193</v>
      </c>
      <c r="L42" s="5">
        <v>2000000</v>
      </c>
      <c r="M42" s="4">
        <v>1</v>
      </c>
      <c r="N42" s="5">
        <f>P42-O42</f>
        <v>1574803.1496062991</v>
      </c>
      <c r="O42" s="5">
        <f>P42/1.27*0.27</f>
        <v>425196.85039370076</v>
      </c>
      <c r="P42" s="5">
        <f>M42*L42</f>
        <v>2000000</v>
      </c>
    </row>
    <row r="43" spans="2:16 16384:16384" x14ac:dyDescent="0.25">
      <c r="B43" s="51" t="s">
        <v>111</v>
      </c>
      <c r="C43" s="6"/>
      <c r="D43" s="9"/>
      <c r="E43" s="7"/>
      <c r="F43" s="9"/>
      <c r="G43" s="9"/>
      <c r="H43" s="9">
        <f>SUM(H40:H42)</f>
        <v>2000000</v>
      </c>
      <c r="I43" s="76"/>
      <c r="J43" s="9" t="s">
        <v>111</v>
      </c>
      <c r="K43" s="6"/>
      <c r="L43" s="9"/>
      <c r="M43" s="7"/>
      <c r="N43" s="9"/>
      <c r="O43" s="9"/>
      <c r="P43" s="9">
        <f>SUM(P40:P42)</f>
        <v>5409657.6500000004</v>
      </c>
    </row>
    <row r="44" spans="2:16 16384:16384" x14ac:dyDescent="0.25">
      <c r="B44" s="51" t="s">
        <v>112</v>
      </c>
      <c r="C44" s="6"/>
      <c r="D44" s="9"/>
      <c r="E44" s="7"/>
      <c r="F44" s="9"/>
      <c r="G44" s="9"/>
      <c r="H44" s="9">
        <f>H43-P43</f>
        <v>-3409657.6500000004</v>
      </c>
      <c r="I44" s="76"/>
      <c r="J44" s="9" t="s">
        <v>112</v>
      </c>
      <c r="K44" s="6"/>
      <c r="L44" s="9"/>
      <c r="M44" s="7"/>
      <c r="N44" s="9"/>
      <c r="O44" s="9"/>
      <c r="P44" s="9">
        <f>P43-H43</f>
        <v>3409657.6500000004</v>
      </c>
    </row>
    <row r="45" spans="2:16 16384:16384" x14ac:dyDescent="0.25">
      <c r="B45" s="51"/>
      <c r="C45" s="6"/>
      <c r="D45" s="9"/>
      <c r="E45" s="7"/>
      <c r="F45" s="9"/>
      <c r="G45" s="9"/>
      <c r="H45" s="9"/>
      <c r="I45" s="76"/>
      <c r="J45" s="9"/>
      <c r="K45" s="6"/>
      <c r="L45" s="9"/>
      <c r="M45" s="7"/>
      <c r="N45" s="9"/>
      <c r="O45" s="9"/>
      <c r="P45" s="9"/>
    </row>
    <row r="46" spans="2:16 16384:16384" x14ac:dyDescent="0.25">
      <c r="B46" s="51" t="s">
        <v>116</v>
      </c>
      <c r="C46" s="6"/>
      <c r="D46" s="9"/>
      <c r="E46" s="7"/>
      <c r="F46" s="9"/>
      <c r="G46" s="9"/>
      <c r="H46" s="9">
        <f>H43+H27+H20</f>
        <v>23720760</v>
      </c>
      <c r="I46" s="76"/>
      <c r="J46" s="51" t="s">
        <v>116</v>
      </c>
      <c r="K46" s="6"/>
      <c r="L46" s="9"/>
      <c r="M46" s="7"/>
      <c r="N46" s="9"/>
      <c r="O46" s="9"/>
      <c r="P46" s="9">
        <f>P43+P27+P20</f>
        <v>18242106.496874999</v>
      </c>
    </row>
    <row r="47" spans="2:16 16384:16384" x14ac:dyDescent="0.25">
      <c r="B47" s="51" t="s">
        <v>114</v>
      </c>
      <c r="C47" s="6"/>
      <c r="D47" s="9"/>
      <c r="E47" s="7"/>
      <c r="F47" s="9"/>
      <c r="G47" s="9"/>
      <c r="H47" s="9">
        <f>H46-P46</f>
        <v>5478653.5031250007</v>
      </c>
      <c r="I47" s="76"/>
      <c r="J47" s="51" t="s">
        <v>114</v>
      </c>
      <c r="K47" s="6"/>
      <c r="L47" s="9"/>
      <c r="M47" s="7"/>
      <c r="N47" s="9"/>
      <c r="O47" s="9"/>
      <c r="P47" s="9">
        <f>P46-H46</f>
        <v>-5478653.5031250007</v>
      </c>
    </row>
    <row r="48" spans="2:16 16384:16384" x14ac:dyDescent="0.25">
      <c r="B48" s="51"/>
      <c r="C48" s="6"/>
      <c r="D48" s="9"/>
      <c r="E48" s="7"/>
      <c r="F48" s="9"/>
      <c r="G48" s="9"/>
      <c r="H48" s="9"/>
      <c r="I48" s="76"/>
      <c r="J48" s="51"/>
      <c r="K48" s="6"/>
      <c r="L48" s="9"/>
      <c r="M48" s="7"/>
      <c r="N48" s="9"/>
      <c r="O48" s="9"/>
      <c r="P48" s="9"/>
    </row>
    <row r="49" spans="2:16" x14ac:dyDescent="0.25">
      <c r="B49" s="51" t="s">
        <v>115</v>
      </c>
      <c r="C49" s="6"/>
      <c r="D49" s="9"/>
      <c r="E49" s="7"/>
      <c r="F49" s="9"/>
      <c r="G49" s="9"/>
      <c r="H49" s="9">
        <f>H46+H34</f>
        <v>42520760</v>
      </c>
      <c r="I49" s="76"/>
      <c r="J49" s="51" t="s">
        <v>115</v>
      </c>
      <c r="K49" s="6"/>
      <c r="L49" s="9"/>
      <c r="M49" s="7"/>
      <c r="N49" s="9"/>
      <c r="O49" s="9"/>
      <c r="P49" s="9">
        <f>P46+P34</f>
        <v>37042106.496875003</v>
      </c>
    </row>
    <row r="50" spans="2:16" x14ac:dyDescent="0.25">
      <c r="B50" s="51" t="s">
        <v>117</v>
      </c>
      <c r="C50" s="6"/>
      <c r="D50" s="9"/>
      <c r="E50" s="7"/>
      <c r="F50" s="9"/>
      <c r="G50" s="9"/>
      <c r="H50" s="9">
        <f>H49-P49</f>
        <v>5478653.503124997</v>
      </c>
      <c r="I50" s="76"/>
      <c r="J50" s="51" t="s">
        <v>117</v>
      </c>
      <c r="K50" s="6"/>
      <c r="L50" s="9"/>
      <c r="M50" s="7"/>
      <c r="N50" s="9"/>
      <c r="O50" s="9"/>
      <c r="P50" s="9">
        <f>P49-H49</f>
        <v>-5478653.503124997</v>
      </c>
    </row>
    <row r="51" spans="2:16" x14ac:dyDescent="0.25">
      <c r="B51" s="51"/>
      <c r="C51" s="6"/>
      <c r="D51" s="9"/>
      <c r="E51" s="7"/>
      <c r="F51" s="9"/>
      <c r="G51" s="9"/>
      <c r="H51" s="9"/>
      <c r="I51" s="76"/>
      <c r="J51" s="9"/>
      <c r="K51" s="6"/>
      <c r="L51" s="9"/>
      <c r="M51" s="7"/>
      <c r="N51" s="9"/>
      <c r="O51" s="9"/>
      <c r="P51" s="9"/>
    </row>
    <row r="52" spans="2:16" x14ac:dyDescent="0.25">
      <c r="B52" s="51"/>
      <c r="C52" s="6"/>
      <c r="D52" s="9"/>
      <c r="E52" s="7"/>
      <c r="F52" s="9"/>
      <c r="G52" s="9"/>
      <c r="H52" s="9"/>
      <c r="I52" s="76"/>
      <c r="J52" s="9"/>
      <c r="K52" s="6"/>
      <c r="L52" s="9"/>
      <c r="M52" s="7"/>
      <c r="N52" s="9"/>
      <c r="O52" s="9"/>
      <c r="P52" s="9"/>
    </row>
    <row r="53" spans="2:16" x14ac:dyDescent="0.25">
      <c r="B53" s="51" t="s">
        <v>194</v>
      </c>
      <c r="C53" s="6"/>
      <c r="D53" s="9"/>
      <c r="E53" s="7"/>
      <c r="F53" s="9"/>
      <c r="G53" s="9"/>
      <c r="H53" s="9"/>
      <c r="I53" s="76"/>
      <c r="J53" s="9"/>
      <c r="K53" s="6"/>
      <c r="L53" s="9"/>
      <c r="M53" s="7"/>
      <c r="N53" s="9"/>
      <c r="O53" s="9"/>
      <c r="P53" s="9"/>
    </row>
    <row r="54" spans="2:16" x14ac:dyDescent="0.25">
      <c r="B54" s="51"/>
      <c r="C54" s="6"/>
      <c r="D54" s="9"/>
      <c r="E54" s="7"/>
      <c r="F54" s="9"/>
      <c r="G54" s="9"/>
      <c r="H54" s="9"/>
      <c r="I54" s="76"/>
      <c r="J54" s="9"/>
      <c r="K54" s="6"/>
      <c r="L54" s="9"/>
      <c r="M54" s="7"/>
      <c r="N54" s="9"/>
      <c r="O54" s="9"/>
      <c r="P54" s="9"/>
    </row>
    <row r="55" spans="2:16" x14ac:dyDescent="0.25">
      <c r="B55" s="67" t="s">
        <v>195</v>
      </c>
      <c r="C55" s="67"/>
      <c r="D55" s="66"/>
      <c r="E55" s="68"/>
      <c r="F55" s="66"/>
      <c r="G55" s="66"/>
      <c r="H55" s="66"/>
      <c r="I55" s="130"/>
      <c r="J55" s="67" t="s">
        <v>195</v>
      </c>
      <c r="K55" s="131"/>
      <c r="L55" s="131"/>
      <c r="M55" s="132"/>
      <c r="N55" s="133"/>
      <c r="O55" s="133"/>
      <c r="P55" s="133"/>
    </row>
    <row r="56" spans="2:16" x14ac:dyDescent="0.25">
      <c r="B56" s="67"/>
      <c r="C56" s="67" t="s">
        <v>88</v>
      </c>
      <c r="D56" s="66">
        <v>0</v>
      </c>
      <c r="E56" s="68">
        <v>29</v>
      </c>
      <c r="F56" s="66">
        <f>H56-G56</f>
        <v>0</v>
      </c>
      <c r="G56" s="66">
        <f>0</f>
        <v>0</v>
      </c>
      <c r="H56" s="66">
        <f>E56*D56</f>
        <v>0</v>
      </c>
      <c r="I56" s="130"/>
      <c r="J56" s="67"/>
      <c r="K56" s="67" t="s">
        <v>88</v>
      </c>
      <c r="L56" s="66">
        <f>(X8+Y8)</f>
        <v>378850.85</v>
      </c>
      <c r="M56" s="68">
        <v>29</v>
      </c>
      <c r="N56" s="66">
        <f>P56-O56</f>
        <v>10986674.649999999</v>
      </c>
      <c r="O56" s="66">
        <f>0</f>
        <v>0</v>
      </c>
      <c r="P56" s="66">
        <f>M56*L56</f>
        <v>10986674.649999999</v>
      </c>
    </row>
    <row r="57" spans="2:16" x14ac:dyDescent="0.25">
      <c r="B57" s="67"/>
      <c r="C57" s="67" t="s">
        <v>193</v>
      </c>
      <c r="D57" s="66">
        <f>L57</f>
        <v>8603667.700000003</v>
      </c>
      <c r="E57" s="68">
        <v>1</v>
      </c>
      <c r="F57" s="66">
        <f>H57-G57</f>
        <v>6774541.496062994</v>
      </c>
      <c r="G57" s="66">
        <f>H57/1.27*0.27</f>
        <v>1829126.2039370085</v>
      </c>
      <c r="H57" s="66">
        <f>E57*D57</f>
        <v>8603667.700000003</v>
      </c>
      <c r="I57" s="130"/>
      <c r="J57" s="67"/>
      <c r="K57" s="67" t="s">
        <v>193</v>
      </c>
      <c r="L57" s="66">
        <f>25000000-P41-P42-P56</f>
        <v>8603667.700000003</v>
      </c>
      <c r="M57" s="68">
        <v>1</v>
      </c>
      <c r="N57" s="66">
        <f>P57-O57</f>
        <v>6774541.496062994</v>
      </c>
      <c r="O57" s="66">
        <f>P57/1.27*0.27</f>
        <v>1829126.2039370085</v>
      </c>
      <c r="P57" s="66">
        <f>M57*L57</f>
        <v>8603667.700000003</v>
      </c>
    </row>
    <row r="58" spans="2:16" x14ac:dyDescent="0.25">
      <c r="B58" s="131" t="s">
        <v>111</v>
      </c>
      <c r="C58" s="131"/>
      <c r="D58" s="133"/>
      <c r="E58" s="132"/>
      <c r="F58" s="133"/>
      <c r="G58" s="133"/>
      <c r="H58" s="133">
        <f>SUM(H55:H57)</f>
        <v>8603667.700000003</v>
      </c>
      <c r="I58" s="134"/>
      <c r="J58" s="133" t="s">
        <v>111</v>
      </c>
      <c r="K58" s="131"/>
      <c r="L58" s="133"/>
      <c r="M58" s="132"/>
      <c r="N58" s="133"/>
      <c r="O58" s="133"/>
      <c r="P58" s="133">
        <f>SUM(P55:P57)</f>
        <v>19590342.350000001</v>
      </c>
    </row>
    <row r="59" spans="2:16" x14ac:dyDescent="0.25">
      <c r="B59" s="131" t="s">
        <v>112</v>
      </c>
      <c r="C59" s="131"/>
      <c r="D59" s="133"/>
      <c r="E59" s="132"/>
      <c r="F59" s="133"/>
      <c r="G59" s="133"/>
      <c r="H59" s="133">
        <f>H58-P58</f>
        <v>-10986674.649999999</v>
      </c>
      <c r="I59" s="134"/>
      <c r="J59" s="133" t="s">
        <v>112</v>
      </c>
      <c r="K59" s="131"/>
      <c r="L59" s="133"/>
      <c r="M59" s="132"/>
      <c r="N59" s="133"/>
      <c r="O59" s="133"/>
      <c r="P59" s="133">
        <f>P58-H58</f>
        <v>10986674.649999999</v>
      </c>
    </row>
    <row r="60" spans="2:16" ht="15.75" x14ac:dyDescent="0.25">
      <c r="B60" s="87"/>
      <c r="C60" s="87"/>
      <c r="D60" s="87"/>
      <c r="E60" s="88"/>
      <c r="F60" s="89"/>
      <c r="G60" s="70"/>
      <c r="H60" s="70"/>
      <c r="I60" s="37"/>
      <c r="J60" s="70"/>
      <c r="K60" s="70"/>
      <c r="L60" s="70"/>
      <c r="M60" s="70"/>
      <c r="N60" s="70"/>
      <c r="O60" s="70"/>
      <c r="P60" s="70"/>
    </row>
    <row r="61" spans="2:16" x14ac:dyDescent="0.25">
      <c r="B61" s="70"/>
      <c r="C61" s="70"/>
      <c r="D61" s="70"/>
      <c r="E61" s="71"/>
      <c r="F61" s="70"/>
      <c r="G61" s="70"/>
      <c r="H61" s="70"/>
      <c r="I61" s="37"/>
      <c r="J61" s="70"/>
      <c r="K61" s="70"/>
      <c r="L61" s="70"/>
      <c r="M61" s="70"/>
      <c r="N61" s="70"/>
      <c r="O61" s="70"/>
      <c r="P61" s="70"/>
    </row>
    <row r="62" spans="2:16" x14ac:dyDescent="0.25">
      <c r="B62" s="70"/>
      <c r="C62" s="70"/>
      <c r="D62" s="70"/>
      <c r="E62" s="71"/>
      <c r="F62" s="70"/>
      <c r="G62" s="70"/>
      <c r="H62" s="70"/>
      <c r="I62" s="37"/>
      <c r="J62" s="37"/>
      <c r="K62" s="70"/>
      <c r="L62" s="70"/>
      <c r="M62" s="71"/>
      <c r="N62" s="70"/>
      <c r="O62" s="70"/>
      <c r="P62" s="70"/>
    </row>
    <row r="63" spans="2:16" x14ac:dyDescent="0.25">
      <c r="B63" s="90"/>
      <c r="C63" s="73"/>
      <c r="D63" s="73"/>
      <c r="E63" s="74"/>
      <c r="F63" s="73"/>
      <c r="G63" s="73"/>
      <c r="H63" s="73"/>
      <c r="I63" s="37"/>
      <c r="J63" s="72"/>
      <c r="K63" s="70"/>
      <c r="L63" s="70"/>
      <c r="M63" s="71"/>
      <c r="N63" s="73"/>
      <c r="O63" s="73"/>
      <c r="P63" s="73"/>
    </row>
    <row r="64" spans="2:16" x14ac:dyDescent="0.25">
      <c r="B64" s="73"/>
      <c r="C64" s="70"/>
      <c r="D64" s="37"/>
      <c r="E64" s="71"/>
      <c r="F64" s="37"/>
      <c r="G64" s="37"/>
      <c r="H64" s="37"/>
      <c r="I64" s="37"/>
      <c r="J64" s="75"/>
      <c r="K64" s="70"/>
      <c r="L64" s="70"/>
      <c r="M64" s="71"/>
      <c r="N64" s="70"/>
      <c r="O64" s="70"/>
      <c r="P64" s="70"/>
    </row>
    <row r="65" spans="2:16" x14ac:dyDescent="0.25">
      <c r="B65" s="73"/>
      <c r="C65" s="70"/>
      <c r="D65" s="37"/>
      <c r="E65" s="71"/>
      <c r="F65" s="37"/>
      <c r="G65" s="37"/>
      <c r="H65" s="37"/>
      <c r="I65" s="37"/>
      <c r="J65" s="37"/>
      <c r="K65" s="70"/>
      <c r="L65" s="70"/>
      <c r="M65" s="71"/>
      <c r="N65" s="37"/>
      <c r="O65" s="37"/>
      <c r="P65" s="37"/>
    </row>
    <row r="66" spans="2:16" x14ac:dyDescent="0.25">
      <c r="B66" s="70"/>
      <c r="C66" s="70"/>
      <c r="D66" s="37"/>
      <c r="E66" s="71"/>
      <c r="F66" s="37"/>
      <c r="G66" s="37"/>
      <c r="H66" s="37"/>
      <c r="I66" s="37"/>
      <c r="J66" s="37"/>
      <c r="K66" s="70"/>
      <c r="L66" s="70"/>
      <c r="M66" s="71"/>
      <c r="N66" s="37"/>
      <c r="O66" s="37"/>
      <c r="P66" s="37"/>
    </row>
    <row r="67" spans="2:16" x14ac:dyDescent="0.25">
      <c r="B67" s="70"/>
      <c r="C67" s="70"/>
      <c r="D67" s="37"/>
      <c r="E67" s="71"/>
      <c r="F67" s="37"/>
      <c r="G67" s="37"/>
      <c r="H67" s="37"/>
      <c r="I67" s="37"/>
      <c r="J67" s="37"/>
      <c r="K67" s="70"/>
      <c r="L67" s="70"/>
      <c r="M67" s="71"/>
      <c r="N67" s="37"/>
      <c r="O67" s="37"/>
      <c r="P67" s="37"/>
    </row>
    <row r="68" spans="2:16" x14ac:dyDescent="0.25">
      <c r="B68" s="70"/>
      <c r="C68" s="70"/>
      <c r="D68" s="37"/>
      <c r="E68" s="71"/>
      <c r="F68" s="37"/>
      <c r="G68" s="37"/>
      <c r="H68" s="37"/>
      <c r="I68" s="37"/>
      <c r="J68" s="37"/>
      <c r="K68" s="70"/>
      <c r="L68" s="70"/>
      <c r="M68" s="71"/>
      <c r="N68" s="37"/>
      <c r="O68" s="37"/>
      <c r="P68" s="37"/>
    </row>
    <row r="69" spans="2:16" x14ac:dyDescent="0.25">
      <c r="B69" s="70"/>
      <c r="C69" s="70"/>
      <c r="D69" s="37"/>
      <c r="E69" s="71"/>
      <c r="F69" s="37"/>
      <c r="G69" s="37"/>
      <c r="H69" s="37"/>
      <c r="I69" s="37"/>
      <c r="J69" s="37"/>
      <c r="K69" s="70"/>
      <c r="L69" s="70"/>
      <c r="M69" s="71"/>
      <c r="N69" s="37"/>
      <c r="O69" s="37"/>
      <c r="P69" s="37"/>
    </row>
    <row r="70" spans="2:16" x14ac:dyDescent="0.25">
      <c r="B70" s="73"/>
      <c r="C70" s="70"/>
      <c r="D70" s="37"/>
      <c r="E70" s="71"/>
      <c r="F70" s="37"/>
      <c r="G70" s="37"/>
      <c r="H70" s="37"/>
      <c r="I70" s="70"/>
      <c r="J70" s="37"/>
      <c r="K70" s="70"/>
      <c r="L70" s="70"/>
      <c r="M70" s="71"/>
      <c r="N70" s="37"/>
      <c r="O70" s="37"/>
      <c r="P70" s="37"/>
    </row>
    <row r="71" spans="2:16" x14ac:dyDescent="0.25">
      <c r="B71" s="70"/>
      <c r="C71" s="70"/>
      <c r="D71" s="37"/>
      <c r="E71" s="71"/>
      <c r="F71" s="37"/>
      <c r="G71" s="37"/>
      <c r="H71" s="37"/>
      <c r="I71" s="70"/>
      <c r="J71" s="91"/>
      <c r="K71" s="92"/>
      <c r="L71" s="92"/>
      <c r="M71" s="93"/>
      <c r="N71" s="91"/>
      <c r="O71" s="92"/>
      <c r="P71" s="91"/>
    </row>
    <row r="72" spans="2:16" x14ac:dyDescent="0.25">
      <c r="B72" s="94"/>
      <c r="C72" s="73"/>
      <c r="D72" s="75"/>
      <c r="E72" s="74"/>
      <c r="F72" s="95"/>
      <c r="G72" s="95"/>
      <c r="H72" s="95"/>
      <c r="I72" s="70"/>
      <c r="J72" s="91"/>
      <c r="K72" s="90"/>
      <c r="L72" s="90"/>
      <c r="M72" s="96"/>
      <c r="N72" s="91"/>
      <c r="O72" s="92"/>
      <c r="P72" s="91"/>
    </row>
    <row r="73" spans="2:16" x14ac:dyDescent="0.25">
      <c r="B73" s="73"/>
      <c r="C73" s="70"/>
      <c r="D73" s="37"/>
      <c r="E73" s="71"/>
      <c r="F73" s="37"/>
      <c r="G73" s="37"/>
      <c r="H73" s="37"/>
      <c r="I73" s="70"/>
      <c r="J73" s="37"/>
      <c r="K73" s="70"/>
      <c r="L73" s="70"/>
      <c r="M73" s="71"/>
      <c r="N73" s="70"/>
      <c r="O73" s="70"/>
      <c r="P73" s="70"/>
    </row>
    <row r="74" spans="2:16" x14ac:dyDescent="0.25">
      <c r="B74" s="73"/>
      <c r="C74" s="70"/>
      <c r="D74" s="70"/>
      <c r="E74" s="71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</row>
    <row r="75" spans="2:16" x14ac:dyDescent="0.25">
      <c r="B75" s="70"/>
      <c r="C75" s="95"/>
      <c r="D75" s="75"/>
      <c r="E75" s="95"/>
      <c r="F75" s="75"/>
      <c r="G75" s="75"/>
      <c r="H75" s="75"/>
      <c r="I75" s="70"/>
      <c r="J75" s="75"/>
      <c r="K75" s="70"/>
      <c r="L75" s="70"/>
      <c r="M75" s="70"/>
      <c r="N75" s="75"/>
      <c r="O75" s="75"/>
      <c r="P75" s="75"/>
    </row>
    <row r="76" spans="2:16" x14ac:dyDescent="0.25">
      <c r="B76" s="70"/>
      <c r="C76" s="70"/>
      <c r="D76" s="70"/>
      <c r="E76" s="71"/>
      <c r="F76" s="70"/>
      <c r="G76" s="70"/>
      <c r="H76" s="70"/>
      <c r="I76" s="70"/>
      <c r="J76" s="70"/>
      <c r="K76" s="70"/>
      <c r="L76" s="70"/>
      <c r="M76" s="70"/>
      <c r="N76" s="37"/>
      <c r="O76" s="95"/>
      <c r="P76" s="95"/>
    </row>
    <row r="77" spans="2:16" x14ac:dyDescent="0.25">
      <c r="B77" s="70"/>
      <c r="C77" s="70"/>
      <c r="D77" s="70"/>
      <c r="E77" s="71"/>
      <c r="F77" s="70"/>
      <c r="G77" s="70"/>
      <c r="H77" s="70"/>
      <c r="I77" s="70"/>
      <c r="J77" s="70"/>
      <c r="K77" s="70"/>
      <c r="L77" s="70"/>
      <c r="M77" s="70"/>
      <c r="N77" s="37"/>
      <c r="O77" s="95"/>
      <c r="P77" s="95"/>
    </row>
    <row r="78" spans="2:16" x14ac:dyDescent="0.25">
      <c r="B78" s="73"/>
      <c r="C78" s="70"/>
      <c r="D78" s="70"/>
      <c r="E78" s="71"/>
      <c r="F78" s="70"/>
      <c r="G78" s="70"/>
      <c r="H78" s="70"/>
      <c r="I78" s="70"/>
      <c r="J78" s="70"/>
      <c r="K78" s="70"/>
      <c r="L78" s="70"/>
      <c r="M78" s="70"/>
      <c r="N78" s="37"/>
      <c r="O78" s="95"/>
      <c r="P78" s="95"/>
    </row>
    <row r="79" spans="2:16" x14ac:dyDescent="0.25">
      <c r="B79" s="73"/>
      <c r="C79" s="70"/>
      <c r="D79" s="70"/>
      <c r="E79" s="71"/>
      <c r="F79" s="75"/>
      <c r="G79" s="70"/>
      <c r="H79" s="70"/>
      <c r="I79" s="70"/>
      <c r="J79" s="70"/>
      <c r="K79" s="70"/>
      <c r="L79" s="70"/>
      <c r="M79" s="70"/>
      <c r="N79" s="70"/>
      <c r="O79" s="70"/>
      <c r="P79" s="70"/>
    </row>
    <row r="80" spans="2:16" x14ac:dyDescent="0.25">
      <c r="B80" s="73"/>
      <c r="C80" s="70"/>
      <c r="D80" s="70"/>
      <c r="E80" s="71"/>
      <c r="F80" s="75"/>
      <c r="G80" s="75"/>
      <c r="H80" s="75"/>
      <c r="I80" s="70"/>
      <c r="J80" s="73"/>
      <c r="K80" s="70"/>
      <c r="L80" s="70"/>
      <c r="M80" s="70"/>
      <c r="N80" s="75"/>
      <c r="O80" s="75"/>
      <c r="P80" s="75"/>
    </row>
    <row r="81" spans="2:16" x14ac:dyDescent="0.25">
      <c r="B81" s="70"/>
      <c r="C81" s="70"/>
      <c r="D81" s="70"/>
      <c r="E81" s="71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</row>
    <row r="82" spans="2:16" x14ac:dyDescent="0.25">
      <c r="B82" s="90"/>
      <c r="C82" s="70"/>
      <c r="D82" s="70"/>
      <c r="E82" s="71"/>
      <c r="F82" s="75"/>
      <c r="G82" s="75"/>
      <c r="H82" s="75"/>
      <c r="I82" s="70"/>
      <c r="J82" s="72"/>
      <c r="K82" s="70"/>
      <c r="L82" s="70"/>
      <c r="M82" s="70"/>
      <c r="N82" s="75"/>
      <c r="O82" s="75"/>
      <c r="P82" s="75"/>
    </row>
    <row r="83" spans="2:16" x14ac:dyDescent="0.25">
      <c r="B83" s="70"/>
      <c r="C83" s="70"/>
      <c r="D83" s="70"/>
      <c r="E83" s="71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</row>
    <row r="84" spans="2:16" x14ac:dyDescent="0.25">
      <c r="B84" s="41"/>
      <c r="C84" s="41"/>
      <c r="D84" s="41"/>
      <c r="E84" s="42"/>
      <c r="F84" s="43"/>
      <c r="G84" s="43"/>
      <c r="H84" s="43"/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XFD74"/>
  <sheetViews>
    <sheetView tabSelected="1" zoomScale="90" zoomScaleNormal="90" workbookViewId="0">
      <selection activeCell="J10" sqref="J10"/>
    </sheetView>
  </sheetViews>
  <sheetFormatPr defaultRowHeight="15" x14ac:dyDescent="0.25"/>
  <cols>
    <col min="1" max="1" width="1.85546875" customWidth="1"/>
    <col min="2" max="2" width="15" customWidth="1"/>
    <col min="3" max="3" width="14.7109375" customWidth="1"/>
    <col min="4" max="4" width="13.5703125" customWidth="1"/>
    <col min="5" max="5" width="14.42578125" style="2" customWidth="1"/>
    <col min="6" max="6" width="14.42578125" bestFit="1" customWidth="1"/>
    <col min="7" max="7" width="13.28515625" bestFit="1" customWidth="1"/>
    <col min="8" max="8" width="14.42578125" bestFit="1" customWidth="1"/>
    <col min="9" max="9" width="3" customWidth="1"/>
    <col min="10" max="10" width="27.42578125" customWidth="1"/>
    <col min="12" max="12" width="12.85546875" bestFit="1" customWidth="1"/>
    <col min="13" max="13" width="9.28515625" bestFit="1" customWidth="1"/>
    <col min="14" max="14" width="14.42578125" bestFit="1" customWidth="1"/>
    <col min="15" max="15" width="13.28515625" bestFit="1" customWidth="1"/>
    <col min="16" max="16" width="14.5703125" bestFit="1" customWidth="1"/>
    <col min="17" max="17" width="3.42578125" customWidth="1"/>
    <col min="18" max="18" width="19.42578125" customWidth="1"/>
    <col min="19" max="19" width="9.42578125" style="83" customWidth="1"/>
    <col min="20" max="20" width="17.7109375" customWidth="1"/>
    <col min="21" max="23" width="11" bestFit="1" customWidth="1"/>
    <col min="24" max="24" width="12" bestFit="1" customWidth="1"/>
    <col min="25" max="25" width="11" bestFit="1" customWidth="1"/>
    <col min="26" max="26" width="11.85546875" bestFit="1" customWidth="1"/>
  </cols>
  <sheetData>
    <row r="3" spans="2:25" ht="18.75" x14ac:dyDescent="0.3">
      <c r="B3" s="127" t="s">
        <v>203</v>
      </c>
      <c r="C3" s="3"/>
      <c r="D3" s="3"/>
      <c r="E3" s="4"/>
      <c r="F3" s="3"/>
      <c r="G3" s="3"/>
      <c r="H3" s="3"/>
    </row>
    <row r="4" spans="2:25" ht="18.75" x14ac:dyDescent="0.3">
      <c r="B4" s="6" t="s">
        <v>5</v>
      </c>
      <c r="C4" s="6" t="s">
        <v>6</v>
      </c>
      <c r="D4" s="6" t="s">
        <v>11</v>
      </c>
      <c r="E4" s="7"/>
      <c r="F4" s="6" t="s">
        <v>10</v>
      </c>
      <c r="G4" s="6"/>
      <c r="H4" s="6"/>
      <c r="J4" s="6" t="s">
        <v>5</v>
      </c>
      <c r="K4" s="6" t="s">
        <v>6</v>
      </c>
      <c r="L4" s="6" t="s">
        <v>11</v>
      </c>
      <c r="M4" s="3"/>
      <c r="N4" s="6" t="s">
        <v>22</v>
      </c>
      <c r="O4" s="3"/>
      <c r="P4" s="3"/>
      <c r="R4" s="80" t="s">
        <v>118</v>
      </c>
    </row>
    <row r="5" spans="2:25" ht="18.75" x14ac:dyDescent="0.3">
      <c r="B5" s="78" t="s">
        <v>1</v>
      </c>
      <c r="C5" s="6"/>
      <c r="D5" s="6"/>
      <c r="E5" s="7"/>
      <c r="F5" s="3"/>
      <c r="G5" s="3"/>
      <c r="H5" s="3"/>
      <c r="J5" s="79" t="s">
        <v>14</v>
      </c>
      <c r="K5" s="8"/>
      <c r="L5" s="3"/>
      <c r="M5" s="3"/>
      <c r="N5" s="3"/>
      <c r="O5" s="3"/>
      <c r="P5" s="3"/>
    </row>
    <row r="6" spans="2:25" x14ac:dyDescent="0.25">
      <c r="B6" s="51"/>
      <c r="C6" s="6"/>
      <c r="D6" s="6"/>
      <c r="E6" s="7"/>
      <c r="F6" s="9"/>
      <c r="G6" s="5"/>
      <c r="H6" s="9"/>
      <c r="J6" s="6" t="s">
        <v>16</v>
      </c>
      <c r="K6" s="6" t="s">
        <v>6</v>
      </c>
      <c r="L6" s="6" t="s">
        <v>19</v>
      </c>
      <c r="M6" s="6" t="s">
        <v>24</v>
      </c>
      <c r="N6" s="6" t="s">
        <v>7</v>
      </c>
      <c r="O6" s="6" t="s">
        <v>20</v>
      </c>
      <c r="P6" s="6" t="s">
        <v>21</v>
      </c>
      <c r="R6" s="81" t="s">
        <v>91</v>
      </c>
      <c r="S6" s="84"/>
      <c r="T6" s="6"/>
      <c r="U6" s="6"/>
      <c r="V6" s="6"/>
      <c r="W6" s="6"/>
      <c r="X6" s="6"/>
      <c r="Y6" s="6"/>
    </row>
    <row r="7" spans="2:25" x14ac:dyDescent="0.25">
      <c r="B7" s="51"/>
      <c r="C7" s="6"/>
      <c r="D7" s="6"/>
      <c r="E7" s="7"/>
      <c r="F7" s="6"/>
      <c r="G7" s="6"/>
      <c r="H7" s="5"/>
      <c r="J7" s="5" t="s">
        <v>18</v>
      </c>
      <c r="K7" s="3"/>
      <c r="L7" s="5"/>
      <c r="M7" s="4"/>
      <c r="N7" s="5"/>
      <c r="O7" s="5"/>
      <c r="P7" s="5"/>
      <c r="R7" s="6" t="s">
        <v>92</v>
      </c>
      <c r="S7" s="84" t="s">
        <v>95</v>
      </c>
      <c r="T7" s="6" t="s">
        <v>98</v>
      </c>
      <c r="U7" s="6" t="s">
        <v>93</v>
      </c>
      <c r="V7" s="6" t="s">
        <v>94</v>
      </c>
      <c r="W7" s="6" t="s">
        <v>94</v>
      </c>
      <c r="X7" s="6" t="s">
        <v>124</v>
      </c>
      <c r="Y7" s="6" t="s">
        <v>97</v>
      </c>
    </row>
    <row r="8" spans="2:25" ht="15.75" thickBot="1" x14ac:dyDescent="0.3">
      <c r="B8" s="3"/>
      <c r="C8" s="6"/>
      <c r="D8" s="6"/>
      <c r="E8" s="7"/>
      <c r="F8" s="6"/>
      <c r="G8" s="6"/>
      <c r="H8" s="6"/>
      <c r="J8" s="44" t="s">
        <v>55</v>
      </c>
      <c r="K8" s="104"/>
      <c r="L8" s="108">
        <v>10000</v>
      </c>
      <c r="M8" s="109">
        <v>30</v>
      </c>
      <c r="N8" s="108">
        <f t="shared" ref="N8:N14" si="0">M8*L8</f>
        <v>300000</v>
      </c>
      <c r="O8" s="108">
        <v>0</v>
      </c>
      <c r="P8" s="108">
        <f t="shared" ref="P8" si="1">O8+N8</f>
        <v>300000</v>
      </c>
      <c r="R8" s="3" t="s">
        <v>106</v>
      </c>
      <c r="S8" s="85">
        <v>8</v>
      </c>
      <c r="T8" s="3" t="s">
        <v>99</v>
      </c>
      <c r="U8" s="3" t="s">
        <v>169</v>
      </c>
      <c r="V8" s="82">
        <v>42826</v>
      </c>
      <c r="W8" s="128">
        <v>43465</v>
      </c>
      <c r="X8" s="5">
        <v>309266</v>
      </c>
      <c r="Y8" s="5">
        <f t="shared" ref="Y8" si="2">X8*0.225</f>
        <v>69584.850000000006</v>
      </c>
    </row>
    <row r="9" spans="2:25" ht="30" customHeight="1" thickBot="1" x14ac:dyDescent="0.3">
      <c r="B9" s="50"/>
      <c r="C9" s="6"/>
      <c r="D9" s="6"/>
      <c r="E9" s="7"/>
      <c r="F9" s="6"/>
      <c r="G9" s="6"/>
      <c r="H9" s="6"/>
      <c r="J9" s="44" t="s">
        <v>126</v>
      </c>
      <c r="K9" s="3"/>
      <c r="L9" s="108"/>
      <c r="M9" s="109"/>
      <c r="N9" s="108"/>
      <c r="O9" s="108"/>
      <c r="P9" s="108">
        <v>2662449</v>
      </c>
      <c r="R9" s="3"/>
      <c r="S9" s="86" t="s">
        <v>120</v>
      </c>
      <c r="T9" s="3" t="s">
        <v>100</v>
      </c>
      <c r="U9" s="3" t="s">
        <v>96</v>
      </c>
      <c r="V9" s="82"/>
      <c r="W9" s="129"/>
      <c r="X9" s="5">
        <v>110744</v>
      </c>
      <c r="Y9" s="5">
        <f>X9*0.21</f>
        <v>23256.239999999998</v>
      </c>
    </row>
    <row r="10" spans="2:25" ht="15.75" thickBot="1" x14ac:dyDescent="0.3">
      <c r="B10" s="6" t="s">
        <v>15</v>
      </c>
      <c r="C10" s="6"/>
      <c r="D10" s="6" t="s">
        <v>3</v>
      </c>
      <c r="E10" s="7" t="s">
        <v>4</v>
      </c>
      <c r="F10" s="6" t="s">
        <v>7</v>
      </c>
      <c r="G10" s="6" t="s">
        <v>8</v>
      </c>
      <c r="H10" s="6" t="s">
        <v>9</v>
      </c>
      <c r="J10" s="44" t="s">
        <v>125</v>
      </c>
      <c r="K10" s="104" t="s">
        <v>56</v>
      </c>
      <c r="L10" s="105">
        <v>20000</v>
      </c>
      <c r="M10" s="106">
        <v>76</v>
      </c>
      <c r="N10" s="105">
        <f t="shared" si="0"/>
        <v>1520000</v>
      </c>
      <c r="O10" s="105">
        <v>0</v>
      </c>
      <c r="P10" s="105"/>
      <c r="R10" s="3" t="s">
        <v>172</v>
      </c>
      <c r="S10" s="85">
        <v>4</v>
      </c>
      <c r="T10" s="3" t="s">
        <v>101</v>
      </c>
      <c r="U10" s="3" t="s">
        <v>96</v>
      </c>
      <c r="V10" s="82">
        <v>42750</v>
      </c>
      <c r="W10" s="128">
        <v>43465</v>
      </c>
      <c r="X10" s="5">
        <v>92000</v>
      </c>
      <c r="Y10" s="5">
        <f>X10*0.21</f>
        <v>19320</v>
      </c>
    </row>
    <row r="11" spans="2:25" ht="15.75" thickBot="1" x14ac:dyDescent="0.3">
      <c r="B11" s="3" t="s">
        <v>171</v>
      </c>
      <c r="C11" s="3"/>
      <c r="D11" s="5">
        <v>1215000</v>
      </c>
      <c r="E11" s="4">
        <v>12</v>
      </c>
      <c r="F11" s="5">
        <f t="shared" ref="F11:F17" si="3">E11*D11</f>
        <v>14580000</v>
      </c>
      <c r="G11" s="5">
        <v>0</v>
      </c>
      <c r="H11" s="5">
        <f t="shared" ref="H11:H17" si="4">G11+F11</f>
        <v>14580000</v>
      </c>
      <c r="I11" s="1"/>
      <c r="J11" s="3"/>
      <c r="K11" s="104" t="s">
        <v>57</v>
      </c>
      <c r="L11" s="105">
        <v>5000</v>
      </c>
      <c r="M11" s="106">
        <v>76</v>
      </c>
      <c r="N11" s="105">
        <f t="shared" si="0"/>
        <v>380000</v>
      </c>
      <c r="O11" s="105">
        <v>0</v>
      </c>
      <c r="P11" s="105"/>
      <c r="R11" s="3" t="s">
        <v>107</v>
      </c>
      <c r="S11" s="85">
        <v>8</v>
      </c>
      <c r="T11" s="3" t="s">
        <v>101</v>
      </c>
      <c r="U11" s="3" t="s">
        <v>170</v>
      </c>
      <c r="V11" s="82">
        <v>42736</v>
      </c>
      <c r="W11" s="128">
        <v>43465</v>
      </c>
      <c r="X11" s="5">
        <v>309266</v>
      </c>
      <c r="Y11" s="5">
        <f>X11*0.21</f>
        <v>64945.86</v>
      </c>
    </row>
    <row r="12" spans="2:25" ht="15.75" thickBot="1" x14ac:dyDescent="0.3">
      <c r="B12" s="3" t="s">
        <v>13</v>
      </c>
      <c r="C12" s="3"/>
      <c r="D12" s="5">
        <v>160000</v>
      </c>
      <c r="E12" s="4">
        <v>12</v>
      </c>
      <c r="F12" s="5">
        <f t="shared" si="3"/>
        <v>1920000</v>
      </c>
      <c r="G12" s="5">
        <v>0</v>
      </c>
      <c r="H12" s="5">
        <f t="shared" si="4"/>
        <v>1920000</v>
      </c>
      <c r="I12" s="1"/>
      <c r="J12" s="3"/>
      <c r="K12" s="104" t="s">
        <v>58</v>
      </c>
      <c r="L12" s="105">
        <v>200000</v>
      </c>
      <c r="M12" s="106">
        <v>5</v>
      </c>
      <c r="N12" s="105">
        <f t="shared" si="0"/>
        <v>1000000</v>
      </c>
      <c r="O12" s="105">
        <v>0</v>
      </c>
      <c r="P12" s="105"/>
      <c r="R12" s="3"/>
      <c r="S12" s="85"/>
      <c r="T12" s="3"/>
      <c r="U12" s="3"/>
      <c r="V12" s="82"/>
      <c r="W12" s="129"/>
      <c r="X12" s="5"/>
      <c r="Y12" s="5"/>
    </row>
    <row r="13" spans="2:25" ht="15.75" thickBot="1" x14ac:dyDescent="0.3">
      <c r="B13" s="3" t="s">
        <v>26</v>
      </c>
      <c r="C13" s="3"/>
      <c r="D13" s="5">
        <v>55000</v>
      </c>
      <c r="E13" s="4">
        <v>12</v>
      </c>
      <c r="F13" s="5">
        <f t="shared" si="3"/>
        <v>660000</v>
      </c>
      <c r="G13" s="5">
        <f>F13*0.27</f>
        <v>178200</v>
      </c>
      <c r="H13" s="5">
        <f t="shared" si="4"/>
        <v>838200</v>
      </c>
      <c r="I13" s="1"/>
      <c r="J13" s="104" t="s">
        <v>76</v>
      </c>
      <c r="K13" s="104" t="s">
        <v>77</v>
      </c>
      <c r="L13" s="105">
        <v>25000</v>
      </c>
      <c r="M13" s="107">
        <v>45</v>
      </c>
      <c r="N13" s="105">
        <f t="shared" si="0"/>
        <v>1125000</v>
      </c>
      <c r="O13" s="105">
        <f>SUM(O8:O12)</f>
        <v>0</v>
      </c>
      <c r="P13" s="105"/>
      <c r="R13" s="3" t="s">
        <v>108</v>
      </c>
      <c r="S13" s="85">
        <v>8</v>
      </c>
      <c r="T13" s="3" t="s">
        <v>102</v>
      </c>
      <c r="U13" s="3" t="s">
        <v>173</v>
      </c>
      <c r="V13" s="82">
        <v>42858</v>
      </c>
      <c r="W13" s="129" t="s">
        <v>178</v>
      </c>
      <c r="X13" s="5">
        <v>180500</v>
      </c>
      <c r="Y13" s="5">
        <f>X13*0.21</f>
        <v>37905</v>
      </c>
    </row>
    <row r="14" spans="2:25" x14ac:dyDescent="0.25">
      <c r="B14" s="3" t="s">
        <v>12</v>
      </c>
      <c r="C14" s="3"/>
      <c r="D14" s="5">
        <v>26500</v>
      </c>
      <c r="E14" s="4">
        <v>12</v>
      </c>
      <c r="F14" s="5">
        <f t="shared" si="3"/>
        <v>318000</v>
      </c>
      <c r="G14" s="5">
        <f>F14*0.27</f>
        <v>85860</v>
      </c>
      <c r="H14" s="5">
        <f t="shared" si="4"/>
        <v>403860</v>
      </c>
      <c r="I14" s="1"/>
      <c r="J14" s="57"/>
      <c r="K14" s="104" t="s">
        <v>58</v>
      </c>
      <c r="L14" s="105">
        <v>200000</v>
      </c>
      <c r="M14" s="106">
        <v>5</v>
      </c>
      <c r="N14" s="105">
        <f t="shared" si="0"/>
        <v>1000000</v>
      </c>
      <c r="O14" s="105">
        <v>0</v>
      </c>
      <c r="P14" s="105"/>
      <c r="R14" s="3"/>
      <c r="S14" s="85"/>
      <c r="T14" s="3"/>
      <c r="U14" s="3"/>
      <c r="V14" s="3"/>
      <c r="W14" s="3"/>
      <c r="X14" s="5"/>
      <c r="Y14" s="5"/>
    </row>
    <row r="15" spans="2:25" x14ac:dyDescent="0.25">
      <c r="B15" s="69" t="s">
        <v>27</v>
      </c>
      <c r="C15" s="69"/>
      <c r="D15" s="108">
        <v>50000</v>
      </c>
      <c r="E15" s="109">
        <v>8</v>
      </c>
      <c r="F15" s="108">
        <f t="shared" si="3"/>
        <v>400000</v>
      </c>
      <c r="G15" s="108">
        <f>F15*0.27</f>
        <v>108000</v>
      </c>
      <c r="H15" s="108">
        <f t="shared" si="4"/>
        <v>508000</v>
      </c>
      <c r="I15" s="141"/>
      <c r="J15" s="51" t="s">
        <v>60</v>
      </c>
      <c r="K15" s="69"/>
      <c r="L15" s="69"/>
      <c r="M15" s="69"/>
      <c r="N15" s="108">
        <f>SUM(N8:N14)</f>
        <v>5325000</v>
      </c>
      <c r="O15" s="108">
        <f>SUM(O11:O14)</f>
        <v>0</v>
      </c>
      <c r="P15" s="60">
        <f>SUM(P8:P14)</f>
        <v>2962449</v>
      </c>
      <c r="R15" s="3" t="s">
        <v>103</v>
      </c>
      <c r="S15" s="85">
        <v>8</v>
      </c>
      <c r="T15" s="3" t="s">
        <v>105</v>
      </c>
      <c r="U15" s="3"/>
      <c r="V15" s="3"/>
      <c r="W15" s="3"/>
      <c r="X15" s="5">
        <v>0</v>
      </c>
      <c r="Y15" s="5">
        <v>0</v>
      </c>
    </row>
    <row r="16" spans="2:25" x14ac:dyDescent="0.25">
      <c r="B16" s="69" t="s">
        <v>39</v>
      </c>
      <c r="C16" s="69"/>
      <c r="D16" s="108">
        <v>30000</v>
      </c>
      <c r="E16" s="109">
        <v>12</v>
      </c>
      <c r="F16" s="108">
        <f t="shared" si="3"/>
        <v>360000</v>
      </c>
      <c r="G16" s="108">
        <f>F16*0.27</f>
        <v>97200</v>
      </c>
      <c r="H16" s="108">
        <f t="shared" si="4"/>
        <v>457200</v>
      </c>
      <c r="I16" s="141"/>
      <c r="J16" s="60" t="s">
        <v>66</v>
      </c>
      <c r="K16" s="69"/>
      <c r="L16" s="108"/>
      <c r="M16" s="109"/>
      <c r="N16" s="108"/>
      <c r="O16" s="108"/>
      <c r="P16" s="108"/>
      <c r="R16" s="3" t="s">
        <v>104</v>
      </c>
      <c r="S16" s="85">
        <v>8</v>
      </c>
      <c r="T16" s="3" t="s">
        <v>105</v>
      </c>
      <c r="U16" s="3"/>
      <c r="V16" s="3"/>
      <c r="W16" s="3"/>
      <c r="X16" s="5">
        <v>0</v>
      </c>
      <c r="Y16" s="5">
        <v>0</v>
      </c>
    </row>
    <row r="17" spans="2:26 16384:16384" x14ac:dyDescent="0.25">
      <c r="B17" s="69" t="s">
        <v>38</v>
      </c>
      <c r="C17" s="69"/>
      <c r="D17" s="108">
        <v>1500000</v>
      </c>
      <c r="E17" s="109">
        <v>1</v>
      </c>
      <c r="F17" s="108">
        <f t="shared" si="3"/>
        <v>1500000</v>
      </c>
      <c r="G17" s="108">
        <f>F17*0.27</f>
        <v>405000</v>
      </c>
      <c r="H17" s="108">
        <f t="shared" si="4"/>
        <v>1905000</v>
      </c>
      <c r="I17" s="141"/>
      <c r="J17" s="108" t="s">
        <v>23</v>
      </c>
      <c r="K17" s="69"/>
      <c r="L17" s="108">
        <v>100000</v>
      </c>
      <c r="M17" s="109">
        <v>4</v>
      </c>
      <c r="N17" s="108">
        <f t="shared" ref="N17" si="5">M17*L17</f>
        <v>400000</v>
      </c>
      <c r="O17" s="108">
        <v>0</v>
      </c>
      <c r="P17" s="108">
        <f t="shared" ref="P17" si="6">O17+N17</f>
        <v>400000</v>
      </c>
      <c r="R17" s="3"/>
      <c r="S17" s="85"/>
      <c r="T17" s="3"/>
      <c r="U17" s="3"/>
      <c r="V17" s="3"/>
      <c r="W17" s="3"/>
      <c r="X17" s="5"/>
      <c r="Y17" s="5"/>
    </row>
    <row r="18" spans="2:26 16384:16384" x14ac:dyDescent="0.25">
      <c r="B18" s="69"/>
      <c r="C18" s="69"/>
      <c r="D18" s="108"/>
      <c r="E18" s="109"/>
      <c r="F18" s="108"/>
      <c r="G18" s="108"/>
      <c r="H18" s="108"/>
      <c r="I18" s="141"/>
      <c r="J18" s="108" t="s">
        <v>121</v>
      </c>
      <c r="K18" s="69"/>
      <c r="L18" s="108">
        <v>500000</v>
      </c>
      <c r="M18" s="109">
        <v>2</v>
      </c>
      <c r="N18" s="108">
        <f t="shared" ref="N18" si="7">M18*L18</f>
        <v>1000000</v>
      </c>
      <c r="O18" s="108">
        <v>0</v>
      </c>
      <c r="P18" s="108">
        <f t="shared" ref="P18" si="8">O18+N18</f>
        <v>1000000</v>
      </c>
      <c r="R18" s="3"/>
      <c r="S18" s="85"/>
      <c r="T18" s="3"/>
      <c r="U18" s="3"/>
      <c r="V18" s="3"/>
      <c r="W18" s="3"/>
      <c r="X18" s="5"/>
      <c r="Y18" s="5"/>
    </row>
    <row r="19" spans="2:26 16384:16384" x14ac:dyDescent="0.25">
      <c r="B19" s="51"/>
      <c r="C19" s="69"/>
      <c r="D19" s="108"/>
      <c r="E19" s="109"/>
      <c r="F19" s="60"/>
      <c r="G19" s="60"/>
      <c r="H19" s="60"/>
      <c r="I19" s="141"/>
      <c r="J19" s="108" t="s">
        <v>82</v>
      </c>
      <c r="K19" s="69"/>
      <c r="L19" s="108">
        <v>3470000</v>
      </c>
      <c r="M19" s="109">
        <v>1</v>
      </c>
      <c r="N19" s="108">
        <f t="shared" ref="N19" si="9">M19*L19</f>
        <v>3470000</v>
      </c>
      <c r="O19" s="108">
        <v>0</v>
      </c>
      <c r="P19" s="108">
        <f t="shared" ref="P19" si="10">O19+N19</f>
        <v>3470000</v>
      </c>
      <c r="R19" s="6" t="s">
        <v>109</v>
      </c>
      <c r="S19" s="84">
        <f>SUM(S8:S18)</f>
        <v>44</v>
      </c>
      <c r="T19" s="6" t="s">
        <v>122</v>
      </c>
      <c r="U19" s="6"/>
      <c r="V19" s="6"/>
      <c r="W19" s="6"/>
      <c r="X19" s="9">
        <f>SUM(X8:X17)</f>
        <v>1001776</v>
      </c>
      <c r="Y19" s="9">
        <f>SUM(Y8:Y17)</f>
        <v>215011.95</v>
      </c>
      <c r="Z19" s="1"/>
      <c r="XFD19" s="5"/>
    </row>
    <row r="20" spans="2:26 16384:16384" ht="15.75" x14ac:dyDescent="0.25">
      <c r="B20" s="139" t="s">
        <v>25</v>
      </c>
      <c r="C20" s="136"/>
      <c r="D20" s="137"/>
      <c r="E20" s="138"/>
      <c r="F20" s="135">
        <f>SUM(F11:F19)</f>
        <v>19738000</v>
      </c>
      <c r="G20" s="135">
        <f>SUM(G11:G19)</f>
        <v>874260</v>
      </c>
      <c r="H20" s="135">
        <f>SUM(H11:H19)</f>
        <v>20612260</v>
      </c>
      <c r="I20" s="142"/>
      <c r="J20" s="135" t="s">
        <v>90</v>
      </c>
      <c r="K20" s="136"/>
      <c r="L20" s="137"/>
      <c r="M20" s="138"/>
      <c r="N20" s="135">
        <f>SUM(N16:N19)+P15</f>
        <v>7832449</v>
      </c>
      <c r="O20" s="135">
        <f>SUM(O15:O19)</f>
        <v>0</v>
      </c>
      <c r="P20" s="135">
        <f>SUM(P15:P19)</f>
        <v>7832449</v>
      </c>
      <c r="Q20" s="1"/>
      <c r="R20" s="3"/>
      <c r="S20" s="84">
        <f>S19/8</f>
        <v>5.5</v>
      </c>
      <c r="T20" s="6" t="s">
        <v>123</v>
      </c>
      <c r="U20" s="3"/>
      <c r="V20" s="3"/>
      <c r="W20" s="3"/>
      <c r="X20" s="3"/>
      <c r="Y20" s="3"/>
      <c r="XFD20" s="37"/>
    </row>
    <row r="21" spans="2:26 16384:16384" ht="15.75" x14ac:dyDescent="0.25">
      <c r="B21" s="139" t="s">
        <v>112</v>
      </c>
      <c r="C21" s="139"/>
      <c r="D21" s="135"/>
      <c r="E21" s="140"/>
      <c r="F21" s="135"/>
      <c r="G21" s="135"/>
      <c r="H21" s="135">
        <f>H20-P20</f>
        <v>12779811</v>
      </c>
      <c r="I21" s="143"/>
      <c r="J21" s="135" t="s">
        <v>112</v>
      </c>
      <c r="K21" s="139"/>
      <c r="L21" s="135"/>
      <c r="M21" s="140"/>
      <c r="N21" s="135"/>
      <c r="O21" s="135"/>
      <c r="P21" s="135">
        <f>P20-H20</f>
        <v>-12779811</v>
      </c>
      <c r="Q21" s="1"/>
      <c r="XFD21" s="37"/>
    </row>
    <row r="22" spans="2:26 16384:16384" x14ac:dyDescent="0.25">
      <c r="B22" s="51"/>
      <c r="C22" s="51"/>
      <c r="D22" s="60"/>
      <c r="E22" s="61"/>
      <c r="F22" s="60"/>
      <c r="G22" s="60"/>
      <c r="H22" s="60"/>
      <c r="I22" s="144"/>
      <c r="J22" s="60"/>
      <c r="K22" s="51"/>
      <c r="L22" s="60"/>
      <c r="M22" s="61"/>
      <c r="N22" s="60"/>
      <c r="O22" s="60"/>
      <c r="P22" s="60"/>
      <c r="Q22" s="1"/>
      <c r="XFD22" s="37"/>
    </row>
    <row r="23" spans="2:26 16384:16384" x14ac:dyDescent="0.25">
      <c r="B23" s="51" t="s">
        <v>110</v>
      </c>
      <c r="C23" s="69"/>
      <c r="D23" s="108"/>
      <c r="E23" s="109"/>
      <c r="F23" s="60"/>
      <c r="G23" s="60"/>
      <c r="H23" s="60"/>
      <c r="I23" s="141"/>
      <c r="J23" s="60" t="s">
        <v>175</v>
      </c>
      <c r="K23" s="69"/>
      <c r="L23" s="108"/>
      <c r="M23" s="109"/>
      <c r="N23" s="108"/>
      <c r="O23" s="108"/>
      <c r="P23" s="108"/>
      <c r="Q23" s="1"/>
      <c r="XFD23" s="37"/>
    </row>
    <row r="24" spans="2:26 16384:16384" x14ac:dyDescent="0.25">
      <c r="B24" s="51" t="s">
        <v>177</v>
      </c>
      <c r="C24" s="69"/>
      <c r="D24" s="108"/>
      <c r="E24" s="109"/>
      <c r="F24" s="60"/>
      <c r="G24" s="60"/>
      <c r="H24" s="60"/>
      <c r="I24" s="141"/>
      <c r="J24" s="60" t="s">
        <v>87</v>
      </c>
      <c r="K24" s="69"/>
      <c r="L24" s="108"/>
      <c r="M24" s="109"/>
      <c r="N24" s="108"/>
      <c r="O24" s="108"/>
      <c r="P24" s="108"/>
      <c r="Q24" s="1"/>
      <c r="XFD24" s="37"/>
    </row>
    <row r="25" spans="2:26 16384:16384" x14ac:dyDescent="0.25">
      <c r="B25" s="69"/>
      <c r="C25" s="69"/>
      <c r="D25" s="108"/>
      <c r="E25" s="109"/>
      <c r="F25" s="108"/>
      <c r="G25" s="108"/>
      <c r="H25" s="108">
        <v>0</v>
      </c>
      <c r="I25" s="141"/>
      <c r="J25" s="108" t="s">
        <v>168</v>
      </c>
      <c r="K25" s="69" t="s">
        <v>88</v>
      </c>
      <c r="L25" s="108">
        <f>X13+Y13</f>
        <v>218405</v>
      </c>
      <c r="M25" s="109">
        <v>9.6761900000000001</v>
      </c>
      <c r="N25" s="108">
        <f>P25-O25</f>
        <v>2113328.2769499999</v>
      </c>
      <c r="O25" s="108">
        <f>0</f>
        <v>0</v>
      </c>
      <c r="P25" s="108">
        <f>M25*L25</f>
        <v>2113328.2769499999</v>
      </c>
      <c r="Q25" s="1"/>
      <c r="XFD25" s="37"/>
    </row>
    <row r="26" spans="2:26 16384:16384" x14ac:dyDescent="0.25">
      <c r="B26" s="51"/>
      <c r="C26" s="69"/>
      <c r="D26" s="108"/>
      <c r="E26" s="109"/>
      <c r="F26" s="108"/>
      <c r="G26" s="108"/>
      <c r="H26" s="108"/>
      <c r="I26" s="141"/>
      <c r="J26" s="108" t="s">
        <v>174</v>
      </c>
      <c r="K26" s="69" t="s">
        <v>88</v>
      </c>
      <c r="L26" s="108">
        <f>X8+Y8</f>
        <v>378850.85</v>
      </c>
      <c r="M26" s="109">
        <v>12</v>
      </c>
      <c r="N26" s="108">
        <f>P26-O26</f>
        <v>4546210.1999999993</v>
      </c>
      <c r="O26" s="108">
        <v>0</v>
      </c>
      <c r="P26" s="108">
        <f>M26*L26</f>
        <v>4546210.1999999993</v>
      </c>
      <c r="Q26" s="1"/>
      <c r="XFD26" s="37"/>
    </row>
    <row r="27" spans="2:26 16384:16384" x14ac:dyDescent="0.25">
      <c r="B27" s="69"/>
      <c r="C27" s="69"/>
      <c r="D27" s="69"/>
      <c r="E27" s="109"/>
      <c r="F27" s="69"/>
      <c r="G27" s="69"/>
      <c r="H27" s="69"/>
      <c r="I27" s="144"/>
      <c r="J27" s="108" t="s">
        <v>200</v>
      </c>
      <c r="K27" s="69" t="s">
        <v>88</v>
      </c>
      <c r="L27" s="108">
        <f>X11+Y11</f>
        <v>374211.86</v>
      </c>
      <c r="M27" s="109">
        <v>12</v>
      </c>
      <c r="N27" s="108">
        <f>P27-O27</f>
        <v>4490542.32</v>
      </c>
      <c r="O27" s="108">
        <v>0</v>
      </c>
      <c r="P27" s="108">
        <f>M27*L27</f>
        <v>4490542.32</v>
      </c>
      <c r="Q27" s="1"/>
      <c r="XFD27" s="37"/>
    </row>
    <row r="28" spans="2:26 16384:16384" x14ac:dyDescent="0.25">
      <c r="B28" s="69"/>
      <c r="C28" s="69"/>
      <c r="D28" s="69"/>
      <c r="E28" s="109"/>
      <c r="F28" s="69"/>
      <c r="G28" s="69"/>
      <c r="H28" s="69"/>
      <c r="I28" s="144"/>
      <c r="J28" s="108" t="s">
        <v>201</v>
      </c>
      <c r="K28" s="69" t="s">
        <v>88</v>
      </c>
      <c r="L28" s="108"/>
      <c r="M28" s="109"/>
      <c r="N28" s="108"/>
      <c r="O28" s="108"/>
      <c r="P28" s="108"/>
      <c r="Q28" s="1"/>
      <c r="XFD28" s="37"/>
    </row>
    <row r="29" spans="2:26 16384:16384" x14ac:dyDescent="0.25">
      <c r="B29" s="108" t="s">
        <v>174</v>
      </c>
      <c r="C29" s="69"/>
      <c r="D29" s="69"/>
      <c r="E29" s="109"/>
      <c r="F29" s="108">
        <f t="shared" ref="F29:F31" si="11">N29</f>
        <v>35632905.354330704</v>
      </c>
      <c r="G29" s="108">
        <f t="shared" ref="G29:G31" si="12">O29</f>
        <v>9620884.4456692934</v>
      </c>
      <c r="H29" s="108">
        <f>P29</f>
        <v>45253789.799999997</v>
      </c>
      <c r="I29" s="144"/>
      <c r="J29" s="108" t="s">
        <v>174</v>
      </c>
      <c r="K29" s="69" t="s">
        <v>199</v>
      </c>
      <c r="L29" s="108"/>
      <c r="M29" s="109"/>
      <c r="N29" s="108">
        <f>P29/1.27</f>
        <v>35632905.354330704</v>
      </c>
      <c r="O29" s="108">
        <f>P29-N29</f>
        <v>9620884.4456692934</v>
      </c>
      <c r="P29" s="108">
        <f>49800000-P26</f>
        <v>45253789.799999997</v>
      </c>
      <c r="Q29" s="1"/>
      <c r="XFD29" s="37"/>
    </row>
    <row r="30" spans="2:26 16384:16384" x14ac:dyDescent="0.25">
      <c r="B30" s="108" t="s">
        <v>200</v>
      </c>
      <c r="C30" s="69"/>
      <c r="D30" s="69"/>
      <c r="E30" s="109"/>
      <c r="F30" s="108">
        <f t="shared" si="11"/>
        <v>16070439.118110236</v>
      </c>
      <c r="G30" s="108">
        <f t="shared" si="12"/>
        <v>4339018.5618897639</v>
      </c>
      <c r="H30" s="108">
        <f t="shared" ref="H30:H31" si="13">P30</f>
        <v>20409457.68</v>
      </c>
      <c r="I30" s="144"/>
      <c r="J30" s="108" t="s">
        <v>200</v>
      </c>
      <c r="K30" s="69" t="s">
        <v>199</v>
      </c>
      <c r="L30" s="108"/>
      <c r="M30" s="109"/>
      <c r="N30" s="108">
        <f>P30/1.27</f>
        <v>16070439.118110236</v>
      </c>
      <c r="O30" s="108">
        <f>P30-N30</f>
        <v>4339018.5618897639</v>
      </c>
      <c r="P30" s="108">
        <f>24900000-P27</f>
        <v>20409457.68</v>
      </c>
      <c r="Q30" s="1"/>
      <c r="XFD30" s="37"/>
    </row>
    <row r="31" spans="2:26 16384:16384" x14ac:dyDescent="0.25">
      <c r="B31" s="108" t="s">
        <v>168</v>
      </c>
      <c r="C31" s="69"/>
      <c r="D31" s="69"/>
      <c r="E31" s="109"/>
      <c r="F31" s="108">
        <f t="shared" si="11"/>
        <v>855647.02602362214</v>
      </c>
      <c r="G31" s="108">
        <f t="shared" si="12"/>
        <v>231024.69702637801</v>
      </c>
      <c r="H31" s="108">
        <f t="shared" si="13"/>
        <v>1086671.7230500001</v>
      </c>
      <c r="I31" s="144"/>
      <c r="J31" s="108" t="s">
        <v>168</v>
      </c>
      <c r="K31" s="69" t="s">
        <v>199</v>
      </c>
      <c r="L31" s="108"/>
      <c r="M31" s="109"/>
      <c r="N31" s="108">
        <f>P31/1.27</f>
        <v>855647.02602362214</v>
      </c>
      <c r="O31" s="108">
        <f>P31-N31</f>
        <v>231024.69702637801</v>
      </c>
      <c r="P31" s="108">
        <f>3200000-P25</f>
        <v>1086671.7230500001</v>
      </c>
      <c r="Q31" s="1"/>
      <c r="XFD31" s="37"/>
    </row>
    <row r="32" spans="2:26 16384:16384" x14ac:dyDescent="0.25">
      <c r="B32" s="108" t="s">
        <v>201</v>
      </c>
      <c r="C32" s="69"/>
      <c r="D32" s="69"/>
      <c r="E32" s="109"/>
      <c r="F32" s="69"/>
      <c r="G32" s="69"/>
      <c r="H32" s="69"/>
      <c r="I32" s="144"/>
      <c r="J32" s="108" t="s">
        <v>201</v>
      </c>
      <c r="K32" s="69" t="s">
        <v>199</v>
      </c>
      <c r="L32" s="108"/>
      <c r="M32" s="109"/>
      <c r="N32" s="108"/>
      <c r="O32" s="108"/>
      <c r="P32" s="108"/>
      <c r="Q32" s="1"/>
      <c r="XFD32" s="37"/>
    </row>
    <row r="33" spans="2:17 16384:16384" x14ac:dyDescent="0.25">
      <c r="B33" s="69"/>
      <c r="C33" s="69"/>
      <c r="D33" s="69"/>
      <c r="E33" s="109"/>
      <c r="F33" s="69"/>
      <c r="G33" s="69"/>
      <c r="H33" s="69"/>
      <c r="I33" s="144"/>
      <c r="J33" s="108"/>
      <c r="K33" s="69"/>
      <c r="L33" s="108"/>
      <c r="M33" s="109"/>
      <c r="N33" s="108"/>
      <c r="O33" s="108"/>
      <c r="P33" s="108"/>
      <c r="Q33" s="1"/>
      <c r="XFD33" s="37"/>
    </row>
    <row r="34" spans="2:17 16384:16384" x14ac:dyDescent="0.25">
      <c r="B34" s="51" t="s">
        <v>111</v>
      </c>
      <c r="C34" s="51"/>
      <c r="D34" s="60"/>
      <c r="E34" s="61"/>
      <c r="F34" s="60"/>
      <c r="G34" s="60"/>
      <c r="H34" s="60">
        <f>SUM(H25:H33)</f>
        <v>66749919.203049995</v>
      </c>
      <c r="I34" s="144"/>
      <c r="J34" s="60" t="s">
        <v>111</v>
      </c>
      <c r="K34" s="51"/>
      <c r="L34" s="60"/>
      <c r="M34" s="61"/>
      <c r="N34" s="60"/>
      <c r="O34" s="60"/>
      <c r="P34" s="60">
        <f>SUM(P25:P33)</f>
        <v>77900000</v>
      </c>
      <c r="Q34" s="1"/>
      <c r="XFD34" s="37"/>
    </row>
    <row r="35" spans="2:17 16384:16384" x14ac:dyDescent="0.25">
      <c r="B35" s="51"/>
      <c r="C35" s="51"/>
      <c r="D35" s="60"/>
      <c r="E35" s="61"/>
      <c r="F35" s="60"/>
      <c r="G35" s="60"/>
      <c r="H35" s="60"/>
      <c r="I35" s="144"/>
      <c r="J35" s="51" t="s">
        <v>112</v>
      </c>
      <c r="K35" s="51"/>
      <c r="L35" s="60"/>
      <c r="M35" s="61"/>
      <c r="N35" s="60"/>
      <c r="O35" s="60"/>
      <c r="P35" s="60">
        <f>P34-H34</f>
        <v>11150080.796950005</v>
      </c>
      <c r="Q35" s="1"/>
      <c r="XFD35" s="37"/>
    </row>
    <row r="36" spans="2:17 16384:16384" x14ac:dyDescent="0.25">
      <c r="B36" s="51"/>
      <c r="C36" s="69"/>
      <c r="D36" s="108"/>
      <c r="E36" s="109"/>
      <c r="F36" s="60"/>
      <c r="G36" s="60"/>
      <c r="H36" s="60"/>
      <c r="I36" s="141"/>
      <c r="J36" s="69"/>
      <c r="K36" s="69"/>
      <c r="L36" s="69"/>
      <c r="M36" s="69"/>
      <c r="N36" s="69"/>
      <c r="O36" s="69"/>
      <c r="P36" s="69"/>
      <c r="Q36" s="1"/>
      <c r="XFD36" s="37"/>
    </row>
    <row r="37" spans="2:17 16384:16384" x14ac:dyDescent="0.25">
      <c r="B37" s="51" t="s">
        <v>113</v>
      </c>
      <c r="C37" s="69"/>
      <c r="D37" s="108"/>
      <c r="E37" s="109"/>
      <c r="F37" s="60"/>
      <c r="G37" s="60"/>
      <c r="H37" s="60"/>
      <c r="I37" s="141"/>
      <c r="J37" s="60" t="s">
        <v>202</v>
      </c>
      <c r="K37" s="69"/>
      <c r="L37" s="108"/>
      <c r="M37" s="109"/>
      <c r="N37" s="108"/>
      <c r="O37" s="108"/>
      <c r="P37" s="108"/>
      <c r="Q37" s="1"/>
      <c r="XFD37" s="37"/>
    </row>
    <row r="38" spans="2:17 16384:16384" x14ac:dyDescent="0.25">
      <c r="B38" s="69" t="s">
        <v>86</v>
      </c>
      <c r="C38" s="69" t="s">
        <v>89</v>
      </c>
      <c r="D38" s="108">
        <v>2000000</v>
      </c>
      <c r="E38" s="109">
        <v>1</v>
      </c>
      <c r="F38" s="108">
        <f>H38-G38</f>
        <v>1574803.1496062991</v>
      </c>
      <c r="G38" s="108">
        <f>H38/1.27*0.27</f>
        <v>425196.85039370076</v>
      </c>
      <c r="H38" s="108">
        <f>E38*D38</f>
        <v>2000000</v>
      </c>
      <c r="I38" s="141"/>
      <c r="J38" s="60" t="s">
        <v>62</v>
      </c>
      <c r="K38" s="69"/>
      <c r="L38" s="108"/>
      <c r="M38" s="109"/>
      <c r="N38" s="108"/>
      <c r="O38" s="108"/>
      <c r="P38" s="108"/>
      <c r="XFD38" s="37"/>
    </row>
    <row r="39" spans="2:17 16384:16384" x14ac:dyDescent="0.25">
      <c r="B39" s="145" t="s">
        <v>176</v>
      </c>
      <c r="C39" s="69" t="s">
        <v>89</v>
      </c>
      <c r="D39" s="108">
        <v>1000000</v>
      </c>
      <c r="E39" s="109">
        <v>1</v>
      </c>
      <c r="F39" s="108">
        <f>H39-G39</f>
        <v>787401.57480314956</v>
      </c>
      <c r="G39" s="108">
        <f>H39/1.27*0.27</f>
        <v>212598.42519685038</v>
      </c>
      <c r="H39" s="108">
        <f>E39*D39</f>
        <v>1000000</v>
      </c>
      <c r="I39" s="141"/>
      <c r="J39" s="108" t="s">
        <v>85</v>
      </c>
      <c r="K39" s="69"/>
      <c r="L39" s="108">
        <v>3000000</v>
      </c>
      <c r="M39" s="109">
        <v>1</v>
      </c>
      <c r="N39" s="108">
        <f>M39*L39</f>
        <v>3000000</v>
      </c>
      <c r="O39" s="108">
        <v>0</v>
      </c>
      <c r="P39" s="108">
        <f>O39+N39</f>
        <v>3000000</v>
      </c>
      <c r="XFD39" s="37"/>
    </row>
    <row r="40" spans="2:17 16384:16384" x14ac:dyDescent="0.25">
      <c r="B40" s="69"/>
      <c r="C40" s="69"/>
      <c r="D40" s="108"/>
      <c r="E40" s="109"/>
      <c r="F40" s="108"/>
      <c r="G40" s="108"/>
      <c r="H40" s="108"/>
      <c r="I40" s="141"/>
      <c r="J40" s="108" t="s">
        <v>198</v>
      </c>
      <c r="K40" s="69"/>
      <c r="L40" s="108">
        <v>2000000</v>
      </c>
      <c r="M40" s="109">
        <v>1</v>
      </c>
      <c r="N40" s="108">
        <f>M40*L40</f>
        <v>2000000</v>
      </c>
      <c r="O40" s="108">
        <v>0</v>
      </c>
      <c r="P40" s="108">
        <f>O40+N40</f>
        <v>2000000</v>
      </c>
      <c r="XFD40" s="37"/>
    </row>
    <row r="41" spans="2:17 16384:16384" x14ac:dyDescent="0.25">
      <c r="B41" s="51" t="s">
        <v>111</v>
      </c>
      <c r="C41" s="51"/>
      <c r="D41" s="60"/>
      <c r="E41" s="61"/>
      <c r="F41" s="60"/>
      <c r="G41" s="60"/>
      <c r="H41" s="60">
        <f>SUM(H38:H40)</f>
        <v>3000000</v>
      </c>
      <c r="I41" s="144"/>
      <c r="J41" s="60" t="s">
        <v>111</v>
      </c>
      <c r="K41" s="51"/>
      <c r="L41" s="60"/>
      <c r="M41" s="61"/>
      <c r="N41" s="60"/>
      <c r="O41" s="60"/>
      <c r="P41" s="60">
        <f>SUM(P39:P40)</f>
        <v>5000000</v>
      </c>
      <c r="XFD41" s="37"/>
    </row>
    <row r="42" spans="2:17 16384:16384" x14ac:dyDescent="0.25">
      <c r="B42" s="51"/>
      <c r="C42" s="51"/>
      <c r="D42" s="60"/>
      <c r="E42" s="61"/>
      <c r="F42" s="60"/>
      <c r="G42" s="60"/>
      <c r="H42" s="60"/>
      <c r="I42" s="144"/>
      <c r="J42" s="60" t="s">
        <v>112</v>
      </c>
      <c r="K42" s="51"/>
      <c r="L42" s="60"/>
      <c r="M42" s="61"/>
      <c r="N42" s="60"/>
      <c r="O42" s="60"/>
      <c r="P42" s="60">
        <f>P41-H41</f>
        <v>2000000</v>
      </c>
      <c r="XFD42" s="37"/>
    </row>
    <row r="43" spans="2:17 16384:16384" x14ac:dyDescent="0.25">
      <c r="B43" s="51"/>
      <c r="C43" s="51"/>
      <c r="D43" s="60"/>
      <c r="E43" s="61"/>
      <c r="F43" s="60"/>
      <c r="G43" s="60"/>
      <c r="H43" s="60"/>
      <c r="I43" s="144"/>
      <c r="J43" s="69"/>
      <c r="K43" s="69"/>
      <c r="L43" s="69"/>
      <c r="M43" s="69"/>
      <c r="N43" s="69"/>
      <c r="O43" s="69"/>
      <c r="P43" s="69"/>
      <c r="XFD43" s="37"/>
    </row>
    <row r="44" spans="2:17 16384:16384" x14ac:dyDescent="0.25">
      <c r="B44" s="51"/>
      <c r="C44" s="51"/>
      <c r="D44" s="60"/>
      <c r="E44" s="61"/>
      <c r="F44" s="60"/>
      <c r="G44" s="60"/>
      <c r="H44" s="60"/>
      <c r="I44" s="144"/>
      <c r="J44" s="60"/>
      <c r="K44" s="51"/>
      <c r="L44" s="60"/>
      <c r="M44" s="61"/>
      <c r="N44" s="60"/>
      <c r="O44" s="60"/>
      <c r="P44" s="60"/>
    </row>
    <row r="45" spans="2:17 16384:16384" x14ac:dyDescent="0.25">
      <c r="B45" s="51" t="s">
        <v>116</v>
      </c>
      <c r="C45" s="51"/>
      <c r="D45" s="60"/>
      <c r="E45" s="61"/>
      <c r="F45" s="60"/>
      <c r="G45" s="60"/>
      <c r="H45" s="60">
        <f>H34+H20</f>
        <v>87362179.203049988</v>
      </c>
      <c r="I45" s="144"/>
      <c r="J45" s="51" t="s">
        <v>116</v>
      </c>
      <c r="K45" s="51"/>
      <c r="L45" s="60"/>
      <c r="M45" s="61"/>
      <c r="N45" s="60"/>
      <c r="O45" s="60"/>
      <c r="P45" s="60">
        <f>P34+P20</f>
        <v>85732449</v>
      </c>
    </row>
    <row r="46" spans="2:17 16384:16384" x14ac:dyDescent="0.25">
      <c r="B46" s="51"/>
      <c r="C46" s="51"/>
      <c r="D46" s="60"/>
      <c r="E46" s="61"/>
      <c r="F46" s="60"/>
      <c r="G46" s="60"/>
      <c r="H46" s="60"/>
      <c r="I46" s="144"/>
      <c r="J46" s="51" t="s">
        <v>114</v>
      </c>
      <c r="K46" s="51"/>
      <c r="L46" s="60"/>
      <c r="M46" s="61"/>
      <c r="N46" s="60"/>
      <c r="O46" s="60"/>
      <c r="P46" s="60">
        <f>P35+P21</f>
        <v>-1629730.203049995</v>
      </c>
    </row>
    <row r="47" spans="2:17 16384:16384" x14ac:dyDescent="0.25">
      <c r="B47" s="51"/>
      <c r="C47" s="51"/>
      <c r="D47" s="60"/>
      <c r="E47" s="61"/>
      <c r="F47" s="60"/>
      <c r="G47" s="60"/>
      <c r="H47" s="60"/>
      <c r="I47" s="144"/>
      <c r="J47" s="51"/>
      <c r="K47" s="51"/>
      <c r="L47" s="60"/>
      <c r="M47" s="61"/>
      <c r="N47" s="60"/>
      <c r="O47" s="60"/>
      <c r="P47" s="60"/>
    </row>
    <row r="48" spans="2:17 16384:16384" x14ac:dyDescent="0.25">
      <c r="B48" s="51" t="s">
        <v>196</v>
      </c>
      <c r="C48" s="51"/>
      <c r="D48" s="60"/>
      <c r="E48" s="61"/>
      <c r="F48" s="60"/>
      <c r="G48" s="60"/>
      <c r="H48" s="60">
        <f>H45+H41</f>
        <v>90362179.203049988</v>
      </c>
      <c r="I48" s="144"/>
      <c r="J48" s="51" t="s">
        <v>196</v>
      </c>
      <c r="K48" s="51"/>
      <c r="L48" s="60"/>
      <c r="M48" s="61"/>
      <c r="N48" s="60"/>
      <c r="O48" s="60"/>
      <c r="P48" s="60">
        <f>P45+P41</f>
        <v>90732449</v>
      </c>
    </row>
    <row r="49" spans="2:16" x14ac:dyDescent="0.25">
      <c r="B49" s="51"/>
      <c r="C49" s="51"/>
      <c r="D49" s="60"/>
      <c r="E49" s="61"/>
      <c r="F49" s="60"/>
      <c r="G49" s="60"/>
      <c r="H49" s="60"/>
      <c r="I49" s="144"/>
      <c r="J49" s="51" t="s">
        <v>197</v>
      </c>
      <c r="K49" s="51"/>
      <c r="L49" s="60"/>
      <c r="M49" s="61"/>
      <c r="N49" s="60"/>
      <c r="O49" s="60"/>
      <c r="P49" s="60">
        <f>P46+P42</f>
        <v>370269.79695000499</v>
      </c>
    </row>
    <row r="50" spans="2:16" ht="15.75" x14ac:dyDescent="0.25">
      <c r="B50" s="87"/>
      <c r="C50" s="87"/>
      <c r="D50" s="87"/>
      <c r="E50" s="88"/>
      <c r="F50" s="89"/>
      <c r="G50" s="70"/>
      <c r="H50" s="70"/>
      <c r="I50" s="37"/>
      <c r="J50" s="70"/>
      <c r="K50" s="70"/>
      <c r="L50" s="70"/>
      <c r="M50" s="70"/>
      <c r="N50" s="70"/>
      <c r="O50" s="70"/>
      <c r="P50" s="70"/>
    </row>
    <row r="51" spans="2:16" x14ac:dyDescent="0.25">
      <c r="B51" s="70"/>
      <c r="C51" s="70"/>
      <c r="D51" s="70"/>
      <c r="E51" s="71"/>
      <c r="F51" s="70"/>
      <c r="G51" s="70"/>
      <c r="H51" s="70"/>
      <c r="I51" s="37"/>
      <c r="J51" s="70"/>
      <c r="K51" s="70"/>
      <c r="L51" s="70"/>
      <c r="M51" s="70"/>
      <c r="N51" s="70"/>
      <c r="O51" s="70"/>
      <c r="P51" s="70"/>
    </row>
    <row r="52" spans="2:16" x14ac:dyDescent="0.25">
      <c r="B52" s="70"/>
      <c r="C52" s="70"/>
      <c r="D52" s="70"/>
      <c r="E52" s="71"/>
      <c r="F52" s="70"/>
      <c r="G52" s="70"/>
      <c r="H52" s="70"/>
      <c r="I52" s="37"/>
      <c r="J52" s="37"/>
      <c r="K52" s="70"/>
      <c r="L52" s="70"/>
      <c r="M52" s="71"/>
      <c r="N52" s="70"/>
      <c r="O52" s="70"/>
      <c r="P52" s="70"/>
    </row>
    <row r="53" spans="2:16" x14ac:dyDescent="0.25">
      <c r="B53" s="90"/>
      <c r="C53" s="73"/>
      <c r="D53" s="73"/>
      <c r="E53" s="74"/>
      <c r="F53" s="73"/>
      <c r="G53" s="73"/>
      <c r="H53" s="73"/>
      <c r="I53" s="37"/>
      <c r="J53" s="72"/>
      <c r="K53" s="70"/>
      <c r="L53" s="70"/>
      <c r="M53" s="71"/>
      <c r="N53" s="73"/>
      <c r="O53" s="73"/>
      <c r="P53" s="73"/>
    </row>
    <row r="54" spans="2:16" x14ac:dyDescent="0.25">
      <c r="B54" s="73"/>
      <c r="C54" s="70"/>
      <c r="D54" s="37"/>
      <c r="E54" s="71"/>
      <c r="F54" s="37"/>
      <c r="G54" s="37"/>
      <c r="H54" s="37"/>
      <c r="I54" s="37"/>
      <c r="J54" s="75"/>
      <c r="K54" s="70"/>
      <c r="L54" s="70"/>
      <c r="M54" s="71"/>
      <c r="N54" s="70"/>
      <c r="O54" s="70"/>
      <c r="P54" s="70"/>
    </row>
    <row r="55" spans="2:16" x14ac:dyDescent="0.25">
      <c r="B55" s="73"/>
      <c r="C55" s="70"/>
      <c r="D55" s="37"/>
      <c r="E55" s="71"/>
      <c r="F55" s="37"/>
      <c r="G55" s="37"/>
      <c r="H55" s="37"/>
      <c r="I55" s="37"/>
      <c r="J55" s="37"/>
      <c r="K55" s="70"/>
      <c r="L55" s="70"/>
      <c r="M55" s="71"/>
      <c r="N55" s="37"/>
      <c r="O55" s="37"/>
      <c r="P55" s="37"/>
    </row>
    <row r="56" spans="2:16" x14ac:dyDescent="0.25">
      <c r="B56" s="70"/>
      <c r="C56" s="70"/>
      <c r="D56" s="37"/>
      <c r="E56" s="71"/>
      <c r="F56" s="37"/>
      <c r="G56" s="37"/>
      <c r="H56" s="37"/>
      <c r="I56" s="37"/>
      <c r="J56" s="37"/>
      <c r="K56" s="70"/>
      <c r="L56" s="70"/>
      <c r="M56" s="71"/>
      <c r="N56" s="37"/>
      <c r="O56" s="37"/>
      <c r="P56" s="37"/>
    </row>
    <row r="57" spans="2:16" x14ac:dyDescent="0.25">
      <c r="B57" s="70"/>
      <c r="C57" s="70"/>
      <c r="D57" s="37"/>
      <c r="E57" s="71"/>
      <c r="F57" s="37"/>
      <c r="G57" s="37"/>
      <c r="H57" s="37"/>
      <c r="I57" s="37"/>
      <c r="J57" s="37"/>
      <c r="K57" s="70"/>
      <c r="L57" s="70"/>
      <c r="M57" s="71"/>
      <c r="N57" s="37"/>
      <c r="O57" s="37"/>
      <c r="P57" s="37"/>
    </row>
    <row r="58" spans="2:16" x14ac:dyDescent="0.25">
      <c r="B58" s="70"/>
      <c r="C58" s="70"/>
      <c r="D58" s="37"/>
      <c r="E58" s="71"/>
      <c r="F58" s="37"/>
      <c r="G58" s="37"/>
      <c r="H58" s="37"/>
      <c r="I58" s="37"/>
      <c r="J58" s="37"/>
      <c r="K58" s="70"/>
      <c r="L58" s="70"/>
      <c r="M58" s="71"/>
      <c r="N58" s="37"/>
      <c r="O58" s="37"/>
      <c r="P58" s="37"/>
    </row>
    <row r="59" spans="2:16" x14ac:dyDescent="0.25">
      <c r="B59" s="70"/>
      <c r="C59" s="70"/>
      <c r="D59" s="37"/>
      <c r="E59" s="71"/>
      <c r="F59" s="37"/>
      <c r="G59" s="37"/>
      <c r="H59" s="37"/>
      <c r="I59" s="37"/>
      <c r="J59" s="37"/>
      <c r="K59" s="70"/>
      <c r="L59" s="70"/>
      <c r="M59" s="71"/>
      <c r="N59" s="37"/>
      <c r="O59" s="37"/>
      <c r="P59" s="37"/>
    </row>
    <row r="60" spans="2:16" x14ac:dyDescent="0.25">
      <c r="B60" s="73"/>
      <c r="C60" s="70"/>
      <c r="D60" s="37"/>
      <c r="E60" s="71"/>
      <c r="F60" s="37"/>
      <c r="G60" s="37"/>
      <c r="H60" s="37"/>
      <c r="I60" s="70"/>
      <c r="J60" s="37"/>
      <c r="K60" s="70"/>
      <c r="L60" s="70"/>
      <c r="M60" s="71"/>
      <c r="N60" s="37"/>
      <c r="O60" s="37"/>
      <c r="P60" s="37"/>
    </row>
    <row r="61" spans="2:16" x14ac:dyDescent="0.25">
      <c r="B61" s="70"/>
      <c r="C61" s="70"/>
      <c r="D61" s="37"/>
      <c r="E61" s="71"/>
      <c r="F61" s="37"/>
      <c r="G61" s="37"/>
      <c r="H61" s="37"/>
      <c r="I61" s="70"/>
      <c r="J61" s="91"/>
      <c r="K61" s="92"/>
      <c r="L61" s="92"/>
      <c r="M61" s="93"/>
      <c r="N61" s="91"/>
      <c r="O61" s="92"/>
      <c r="P61" s="91"/>
    </row>
    <row r="62" spans="2:16" x14ac:dyDescent="0.25">
      <c r="B62" s="94"/>
      <c r="C62" s="73"/>
      <c r="D62" s="75"/>
      <c r="E62" s="74"/>
      <c r="F62" s="95"/>
      <c r="G62" s="95"/>
      <c r="H62" s="95"/>
      <c r="I62" s="70"/>
      <c r="J62" s="91"/>
      <c r="K62" s="90"/>
      <c r="L62" s="90"/>
      <c r="M62" s="96"/>
      <c r="N62" s="91"/>
      <c r="O62" s="92"/>
      <c r="P62" s="91"/>
    </row>
    <row r="63" spans="2:16" x14ac:dyDescent="0.25">
      <c r="B63" s="73"/>
      <c r="C63" s="70"/>
      <c r="D63" s="37"/>
      <c r="E63" s="71"/>
      <c r="F63" s="37"/>
      <c r="G63" s="37"/>
      <c r="H63" s="37"/>
      <c r="I63" s="70"/>
      <c r="J63" s="37"/>
      <c r="K63" s="70"/>
      <c r="L63" s="70"/>
      <c r="M63" s="71"/>
      <c r="N63" s="70"/>
      <c r="O63" s="70"/>
      <c r="P63" s="70"/>
    </row>
    <row r="64" spans="2:16" x14ac:dyDescent="0.25">
      <c r="B64" s="73"/>
      <c r="C64" s="70"/>
      <c r="D64" s="70"/>
      <c r="E64" s="71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</row>
    <row r="65" spans="2:16" x14ac:dyDescent="0.25">
      <c r="B65" s="70"/>
      <c r="C65" s="95"/>
      <c r="D65" s="75"/>
      <c r="E65" s="95"/>
      <c r="F65" s="75"/>
      <c r="G65" s="75"/>
      <c r="H65" s="75"/>
      <c r="I65" s="70"/>
      <c r="J65" s="75"/>
      <c r="K65" s="70"/>
      <c r="L65" s="70"/>
      <c r="M65" s="70"/>
      <c r="N65" s="75"/>
      <c r="O65" s="75"/>
      <c r="P65" s="75"/>
    </row>
    <row r="66" spans="2:16" x14ac:dyDescent="0.25">
      <c r="B66" s="70"/>
      <c r="C66" s="70"/>
      <c r="D66" s="70"/>
      <c r="E66" s="71"/>
      <c r="F66" s="70"/>
      <c r="G66" s="70"/>
      <c r="H66" s="70"/>
      <c r="I66" s="70"/>
      <c r="J66" s="70"/>
      <c r="K66" s="70"/>
      <c r="L66" s="70"/>
      <c r="M66" s="70"/>
      <c r="N66" s="37"/>
      <c r="O66" s="95"/>
      <c r="P66" s="95"/>
    </row>
    <row r="67" spans="2:16" x14ac:dyDescent="0.25">
      <c r="B67" s="70"/>
      <c r="C67" s="70"/>
      <c r="D67" s="70"/>
      <c r="E67" s="71"/>
      <c r="F67" s="70"/>
      <c r="G67" s="70"/>
      <c r="H67" s="70"/>
      <c r="I67" s="70"/>
      <c r="J67" s="70"/>
      <c r="K67" s="70"/>
      <c r="L67" s="70"/>
      <c r="M67" s="70"/>
      <c r="N67" s="37"/>
      <c r="O67" s="95"/>
      <c r="P67" s="95"/>
    </row>
    <row r="68" spans="2:16" x14ac:dyDescent="0.25">
      <c r="B68" s="73"/>
      <c r="C68" s="70"/>
      <c r="D68" s="70"/>
      <c r="E68" s="71"/>
      <c r="F68" s="70"/>
      <c r="G68" s="70"/>
      <c r="H68" s="70"/>
      <c r="I68" s="70"/>
      <c r="J68" s="70"/>
      <c r="K68" s="70"/>
      <c r="L68" s="70"/>
      <c r="M68" s="70"/>
      <c r="N68" s="37"/>
      <c r="O68" s="95"/>
      <c r="P68" s="95"/>
    </row>
    <row r="69" spans="2:16" x14ac:dyDescent="0.25">
      <c r="B69" s="73"/>
      <c r="C69" s="70"/>
      <c r="D69" s="70"/>
      <c r="E69" s="71"/>
      <c r="F69" s="75"/>
      <c r="G69" s="70"/>
      <c r="H69" s="70"/>
      <c r="I69" s="70"/>
      <c r="J69" s="70"/>
      <c r="K69" s="70"/>
      <c r="L69" s="70"/>
      <c r="M69" s="70"/>
      <c r="N69" s="70"/>
      <c r="O69" s="70"/>
      <c r="P69" s="70"/>
    </row>
    <row r="70" spans="2:16" x14ac:dyDescent="0.25">
      <c r="B70" s="73"/>
      <c r="C70" s="70"/>
      <c r="D70" s="70"/>
      <c r="E70" s="71"/>
      <c r="F70" s="75"/>
      <c r="G70" s="75"/>
      <c r="H70" s="75"/>
      <c r="I70" s="70"/>
      <c r="J70" s="73"/>
      <c r="K70" s="70"/>
      <c r="L70" s="70"/>
      <c r="M70" s="70"/>
      <c r="N70" s="75"/>
      <c r="O70" s="75"/>
      <c r="P70" s="75"/>
    </row>
    <row r="71" spans="2:16" x14ac:dyDescent="0.25">
      <c r="B71" s="70"/>
      <c r="C71" s="70"/>
      <c r="D71" s="70"/>
      <c r="E71" s="71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</row>
    <row r="72" spans="2:16" x14ac:dyDescent="0.25">
      <c r="B72" s="90"/>
      <c r="C72" s="70"/>
      <c r="D72" s="70"/>
      <c r="E72" s="71"/>
      <c r="F72" s="75"/>
      <c r="G72" s="75"/>
      <c r="H72" s="75"/>
      <c r="I72" s="70"/>
      <c r="J72" s="72"/>
      <c r="K72" s="70"/>
      <c r="L72" s="70"/>
      <c r="M72" s="70"/>
      <c r="N72" s="75"/>
      <c r="O72" s="75"/>
      <c r="P72" s="75"/>
    </row>
    <row r="73" spans="2:16" x14ac:dyDescent="0.25">
      <c r="B73" s="70"/>
      <c r="C73" s="70"/>
      <c r="D73" s="70"/>
      <c r="E73" s="71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</row>
    <row r="74" spans="2:16" x14ac:dyDescent="0.25">
      <c r="B74" s="41"/>
      <c r="C74" s="41"/>
      <c r="D74" s="41"/>
      <c r="E74" s="42"/>
      <c r="F74" s="43"/>
      <c r="G74" s="43"/>
      <c r="H74" s="43"/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4"/>
  <sheetViews>
    <sheetView topLeftCell="A55" workbookViewId="0">
      <selection activeCell="B16" sqref="B16"/>
    </sheetView>
  </sheetViews>
  <sheetFormatPr defaultRowHeight="15" x14ac:dyDescent="0.25"/>
  <cols>
    <col min="1" max="1" width="25" bestFit="1" customWidth="1"/>
    <col min="2" max="2" width="23.85546875" bestFit="1" customWidth="1"/>
    <col min="3" max="3" width="22.140625" customWidth="1"/>
    <col min="5" max="5" width="29.140625" customWidth="1"/>
    <col min="6" max="6" width="15.7109375" customWidth="1"/>
    <col min="7" max="7" width="4.5703125" customWidth="1"/>
    <col min="8" max="8" width="36.140625" customWidth="1"/>
    <col min="9" max="9" width="16.28515625" customWidth="1"/>
    <col min="10" max="10" width="4.85546875" customWidth="1"/>
    <col min="11" max="11" width="35.5703125" customWidth="1"/>
    <col min="12" max="12" width="11" bestFit="1" customWidth="1"/>
  </cols>
  <sheetData>
    <row r="2" spans="1:12" x14ac:dyDescent="0.25">
      <c r="A2" s="126"/>
      <c r="B2" s="113" t="s">
        <v>156</v>
      </c>
      <c r="C2" s="126"/>
      <c r="D2" s="126"/>
      <c r="E2" s="126"/>
      <c r="F2" s="126"/>
      <c r="G2" s="126"/>
      <c r="H2" s="126"/>
      <c r="I2" s="126"/>
    </row>
    <row r="4" spans="1:12" x14ac:dyDescent="0.25">
      <c r="A4" t="s">
        <v>159</v>
      </c>
      <c r="B4" s="6"/>
      <c r="C4" s="6" t="s">
        <v>160</v>
      </c>
      <c r="D4" s="6"/>
      <c r="E4" s="6"/>
      <c r="F4" s="6" t="s">
        <v>160</v>
      </c>
      <c r="G4" s="6"/>
      <c r="H4" s="6"/>
      <c r="I4" s="6" t="s">
        <v>160</v>
      </c>
    </row>
    <row r="5" spans="1:12" x14ac:dyDescent="0.25">
      <c r="A5" s="112" t="s">
        <v>158</v>
      </c>
      <c r="B5" s="6" t="s">
        <v>135</v>
      </c>
      <c r="C5" s="111">
        <f>SUM(C21:C35)</f>
        <v>-547766</v>
      </c>
      <c r="E5" s="6" t="s">
        <v>150</v>
      </c>
      <c r="F5" s="111">
        <f>SUM(F21:F35)</f>
        <v>-382661</v>
      </c>
      <c r="H5" s="6" t="s">
        <v>152</v>
      </c>
      <c r="I5" s="111">
        <f>SUM(I21:I35)</f>
        <v>-303562</v>
      </c>
    </row>
    <row r="6" spans="1:12" x14ac:dyDescent="0.25">
      <c r="A6" t="s">
        <v>157</v>
      </c>
      <c r="B6" s="6" t="s">
        <v>135</v>
      </c>
      <c r="C6" s="125">
        <f>SUM(C39:C54)</f>
        <v>-591099.33333333326</v>
      </c>
      <c r="D6" s="6"/>
      <c r="E6" s="6" t="s">
        <v>150</v>
      </c>
      <c r="F6" s="125">
        <f>SUM(F39:F54)</f>
        <v>-382661</v>
      </c>
      <c r="G6" s="6"/>
      <c r="H6" s="6" t="s">
        <v>151</v>
      </c>
      <c r="I6" s="125">
        <f>SUM(I39:I54)</f>
        <v>-382661</v>
      </c>
    </row>
    <row r="7" spans="1:12" x14ac:dyDescent="0.25">
      <c r="A7" s="124" t="s">
        <v>161</v>
      </c>
      <c r="B7" s="50" t="s">
        <v>135</v>
      </c>
      <c r="C7" s="123">
        <f>SUM(C60:C74)</f>
        <v>-459020.19283739763</v>
      </c>
      <c r="D7" s="124"/>
      <c r="E7" s="50" t="s">
        <v>150</v>
      </c>
      <c r="F7" s="123">
        <f>SUM(F60:F74)</f>
        <v>-382661</v>
      </c>
      <c r="G7" s="124"/>
      <c r="H7" s="50" t="s">
        <v>151</v>
      </c>
      <c r="I7" s="123">
        <f>SUM(I60:I74)</f>
        <v>-382661</v>
      </c>
      <c r="J7" s="124"/>
      <c r="K7" s="50" t="s">
        <v>153</v>
      </c>
      <c r="L7" s="123">
        <f>SUM(L60:L74)</f>
        <v>-382661</v>
      </c>
    </row>
    <row r="8" spans="1:12" x14ac:dyDescent="0.25">
      <c r="C8" s="6"/>
      <c r="D8" s="6"/>
      <c r="F8" s="6"/>
      <c r="G8" s="6"/>
      <c r="I8" s="3"/>
    </row>
    <row r="10" spans="1:12" x14ac:dyDescent="0.25">
      <c r="A10" s="126"/>
      <c r="B10" s="113" t="s">
        <v>14</v>
      </c>
      <c r="C10" s="126"/>
      <c r="D10" s="126"/>
      <c r="E10" s="126"/>
      <c r="F10" s="126"/>
      <c r="G10" s="126"/>
      <c r="H10" s="126"/>
      <c r="I10" s="126"/>
    </row>
    <row r="11" spans="1:12" x14ac:dyDescent="0.25">
      <c r="B11" t="s">
        <v>162</v>
      </c>
      <c r="C11" s="123">
        <v>1920000</v>
      </c>
      <c r="E11" t="s">
        <v>163</v>
      </c>
    </row>
    <row r="12" spans="1:12" x14ac:dyDescent="0.25">
      <c r="B12" t="s">
        <v>164</v>
      </c>
      <c r="C12" s="123">
        <f>L56</f>
        <v>165019</v>
      </c>
      <c r="E12" t="s">
        <v>165</v>
      </c>
    </row>
    <row r="13" spans="1:12" x14ac:dyDescent="0.25">
      <c r="B13" t="s">
        <v>166</v>
      </c>
      <c r="C13" s="123"/>
    </row>
    <row r="14" spans="1:12" x14ac:dyDescent="0.25">
      <c r="C14" s="123"/>
    </row>
    <row r="15" spans="1:12" x14ac:dyDescent="0.25">
      <c r="C15" s="123"/>
    </row>
    <row r="16" spans="1:12" x14ac:dyDescent="0.25">
      <c r="B16" s="41" t="s">
        <v>167</v>
      </c>
      <c r="C16" s="123"/>
    </row>
    <row r="18" spans="1:9" x14ac:dyDescent="0.25">
      <c r="A18" s="112"/>
      <c r="B18" s="6" t="s">
        <v>135</v>
      </c>
      <c r="C18" s="6" t="s">
        <v>138</v>
      </c>
      <c r="D18" s="6"/>
      <c r="E18" s="6" t="s">
        <v>150</v>
      </c>
      <c r="F18" s="6"/>
      <c r="G18" s="6"/>
      <c r="H18" s="6" t="s">
        <v>152</v>
      </c>
      <c r="I18" s="3"/>
    </row>
    <row r="19" spans="1:9" x14ac:dyDescent="0.25">
      <c r="A19" s="112"/>
      <c r="B19" s="6"/>
      <c r="C19" s="6"/>
      <c r="D19" s="6"/>
      <c r="E19" s="6"/>
      <c r="F19" s="6"/>
      <c r="G19" s="6"/>
      <c r="H19" s="6"/>
      <c r="I19" s="3"/>
    </row>
    <row r="20" spans="1:9" x14ac:dyDescent="0.25">
      <c r="A20" s="112" t="s">
        <v>141</v>
      </c>
      <c r="B20" s="6"/>
      <c r="C20" s="6"/>
      <c r="D20" s="6"/>
      <c r="E20" s="6"/>
      <c r="F20" s="6"/>
      <c r="G20" s="6"/>
      <c r="H20" s="6"/>
      <c r="I20" s="3"/>
    </row>
    <row r="21" spans="1:9" x14ac:dyDescent="0.25">
      <c r="B21" s="114" t="s">
        <v>127</v>
      </c>
      <c r="C21" s="115">
        <v>-109725</v>
      </c>
      <c r="D21" s="3"/>
      <c r="E21" s="114" t="s">
        <v>128</v>
      </c>
      <c r="F21" s="115">
        <v>-238661</v>
      </c>
      <c r="G21" s="3"/>
      <c r="H21" s="114" t="s">
        <v>142</v>
      </c>
      <c r="I21" s="116">
        <v>-58187</v>
      </c>
    </row>
    <row r="22" spans="1:9" x14ac:dyDescent="0.25">
      <c r="B22" s="114" t="s">
        <v>128</v>
      </c>
      <c r="C22" s="115">
        <v>-73642</v>
      </c>
      <c r="D22" s="3"/>
      <c r="E22" s="114"/>
      <c r="F22" s="115"/>
      <c r="G22" s="3"/>
      <c r="H22" s="114" t="s">
        <v>143</v>
      </c>
      <c r="I22" s="116">
        <v>-116375</v>
      </c>
    </row>
    <row r="23" spans="1:9" x14ac:dyDescent="0.25">
      <c r="B23" s="114" t="s">
        <v>129</v>
      </c>
      <c r="C23" s="115">
        <v>-59850</v>
      </c>
      <c r="D23" s="3"/>
      <c r="E23" s="114"/>
      <c r="F23" s="115"/>
      <c r="G23" s="3"/>
      <c r="H23" s="3"/>
      <c r="I23" s="3"/>
    </row>
    <row r="24" spans="1:9" x14ac:dyDescent="0.25">
      <c r="B24" s="3"/>
      <c r="C24" s="117"/>
      <c r="D24" s="3"/>
      <c r="E24" s="114" t="s">
        <v>132</v>
      </c>
      <c r="F24" s="115">
        <v>-68000</v>
      </c>
      <c r="G24" s="3"/>
      <c r="H24" s="114" t="s">
        <v>133</v>
      </c>
      <c r="I24" s="116">
        <v>-23000</v>
      </c>
    </row>
    <row r="25" spans="1:9" x14ac:dyDescent="0.25">
      <c r="B25" s="114" t="s">
        <v>130</v>
      </c>
      <c r="C25" s="115">
        <v>-1000</v>
      </c>
      <c r="D25" s="3"/>
      <c r="E25" s="114" t="s">
        <v>133</v>
      </c>
      <c r="F25" s="115">
        <v>-26000</v>
      </c>
      <c r="G25" s="3"/>
      <c r="H25" s="114" t="s">
        <v>132</v>
      </c>
      <c r="I25" s="116">
        <v>-35000</v>
      </c>
    </row>
    <row r="26" spans="1:9" x14ac:dyDescent="0.25">
      <c r="B26" s="114" t="s">
        <v>131</v>
      </c>
      <c r="C26" s="115">
        <v>-35000</v>
      </c>
      <c r="D26" s="3"/>
      <c r="E26" s="114" t="s">
        <v>139</v>
      </c>
      <c r="F26" s="115">
        <v>-14000</v>
      </c>
      <c r="G26" s="3"/>
      <c r="H26" s="114" t="s">
        <v>131</v>
      </c>
      <c r="I26" s="116">
        <v>-27000</v>
      </c>
    </row>
    <row r="27" spans="1:9" x14ac:dyDescent="0.25">
      <c r="B27" s="114" t="s">
        <v>132</v>
      </c>
      <c r="C27" s="115">
        <v>-77000</v>
      </c>
      <c r="D27" s="3"/>
      <c r="E27" s="114" t="s">
        <v>131</v>
      </c>
      <c r="F27" s="115">
        <v>-31000</v>
      </c>
      <c r="G27" s="3"/>
      <c r="H27" s="114" t="s">
        <v>134</v>
      </c>
      <c r="I27" s="116">
        <v>-39000</v>
      </c>
    </row>
    <row r="28" spans="1:9" x14ac:dyDescent="0.25">
      <c r="B28" s="114" t="s">
        <v>133</v>
      </c>
      <c r="C28" s="115">
        <v>-28000</v>
      </c>
      <c r="D28" s="3"/>
      <c r="E28" s="3"/>
      <c r="F28" s="3"/>
      <c r="G28" s="3"/>
      <c r="H28" s="3"/>
      <c r="I28" s="3"/>
    </row>
    <row r="29" spans="1:9" x14ac:dyDescent="0.25">
      <c r="B29" s="114" t="s">
        <v>134</v>
      </c>
      <c r="C29" s="115">
        <v>-53000</v>
      </c>
      <c r="D29" s="3"/>
      <c r="E29" s="3"/>
      <c r="F29" s="3"/>
      <c r="G29" s="3"/>
      <c r="H29" s="3"/>
      <c r="I29" s="3"/>
    </row>
    <row r="30" spans="1:9" x14ac:dyDescent="0.25">
      <c r="B30" s="3"/>
      <c r="C30" s="117"/>
      <c r="D30" s="3"/>
      <c r="E30" s="3"/>
      <c r="F30" s="3"/>
      <c r="G30" s="3"/>
      <c r="H30" s="3"/>
      <c r="I30" s="3"/>
    </row>
    <row r="31" spans="1:9" x14ac:dyDescent="0.25">
      <c r="B31" s="114" t="s">
        <v>136</v>
      </c>
      <c r="C31" s="115">
        <v>-50165</v>
      </c>
      <c r="D31" s="3"/>
      <c r="E31" s="3"/>
      <c r="F31" s="3"/>
      <c r="G31" s="3"/>
      <c r="H31" s="3"/>
      <c r="I31" s="3"/>
    </row>
    <row r="32" spans="1:9" x14ac:dyDescent="0.25">
      <c r="B32" s="114" t="s">
        <v>137</v>
      </c>
      <c r="C32" s="115">
        <v>-5384</v>
      </c>
      <c r="D32" s="3"/>
      <c r="E32" s="3"/>
      <c r="F32" s="3"/>
      <c r="G32" s="3"/>
      <c r="H32" s="3"/>
      <c r="I32" s="3"/>
    </row>
    <row r="33" spans="1:9" x14ac:dyDescent="0.25">
      <c r="B33" s="114" t="s">
        <v>140</v>
      </c>
      <c r="C33" s="115">
        <v>-5000</v>
      </c>
      <c r="D33" s="3"/>
      <c r="E33" s="114" t="s">
        <v>140</v>
      </c>
      <c r="F33" s="115">
        <v>-5000</v>
      </c>
      <c r="G33" s="3"/>
      <c r="H33" s="114" t="s">
        <v>140</v>
      </c>
      <c r="I33" s="115">
        <v>-5000</v>
      </c>
    </row>
    <row r="34" spans="1:9" x14ac:dyDescent="0.25">
      <c r="B34" s="114" t="s">
        <v>38</v>
      </c>
      <c r="C34" s="115">
        <v>-50000</v>
      </c>
      <c r="D34" s="3"/>
      <c r="E34" s="3"/>
      <c r="F34" s="3"/>
      <c r="G34" s="3"/>
      <c r="H34" s="3"/>
      <c r="I34" s="3"/>
    </row>
    <row r="35" spans="1:9" x14ac:dyDescent="0.25">
      <c r="C35" s="110"/>
    </row>
    <row r="36" spans="1:9" x14ac:dyDescent="0.25">
      <c r="C36" s="110"/>
    </row>
    <row r="37" spans="1:9" x14ac:dyDescent="0.25">
      <c r="A37" s="113" t="s">
        <v>148</v>
      </c>
      <c r="B37" s="6" t="s">
        <v>135</v>
      </c>
      <c r="C37" s="6" t="s">
        <v>138</v>
      </c>
      <c r="D37" s="6"/>
      <c r="E37" s="6" t="s">
        <v>150</v>
      </c>
      <c r="F37" s="6"/>
      <c r="G37" s="6"/>
      <c r="H37" s="6" t="s">
        <v>151</v>
      </c>
      <c r="I37" s="3"/>
    </row>
    <row r="38" spans="1:9" x14ac:dyDescent="0.25">
      <c r="B38" s="6"/>
      <c r="C38" s="6"/>
      <c r="D38" s="6"/>
      <c r="E38" s="6"/>
      <c r="F38" s="6"/>
      <c r="G38" s="6"/>
      <c r="H38" s="6"/>
      <c r="I38" s="3"/>
    </row>
    <row r="39" spans="1:9" x14ac:dyDescent="0.25">
      <c r="A39" s="112" t="s">
        <v>147</v>
      </c>
      <c r="B39" s="3"/>
      <c r="C39" s="116"/>
      <c r="D39" s="3"/>
      <c r="E39" s="3"/>
      <c r="F39" s="3"/>
      <c r="G39" s="3"/>
      <c r="H39" s="3"/>
      <c r="I39" s="3"/>
    </row>
    <row r="40" spans="1:9" x14ac:dyDescent="0.25">
      <c r="B40" s="114" t="s">
        <v>127</v>
      </c>
      <c r="C40" s="115">
        <v>-109725</v>
      </c>
      <c r="D40" s="3"/>
      <c r="E40" s="114" t="s">
        <v>143</v>
      </c>
      <c r="F40" s="115">
        <v>-238661</v>
      </c>
      <c r="G40" s="3"/>
      <c r="H40" s="114" t="s">
        <v>145</v>
      </c>
      <c r="I40" s="115">
        <v>-238661</v>
      </c>
    </row>
    <row r="41" spans="1:9" x14ac:dyDescent="0.25">
      <c r="B41" s="114" t="s">
        <v>128</v>
      </c>
      <c r="C41" s="115">
        <v>-73642</v>
      </c>
      <c r="D41" s="3"/>
      <c r="E41" s="114"/>
      <c r="F41" s="115"/>
      <c r="G41" s="3"/>
      <c r="H41" s="114"/>
      <c r="I41" s="115"/>
    </row>
    <row r="42" spans="1:9" x14ac:dyDescent="0.25">
      <c r="B42" s="114" t="s">
        <v>129</v>
      </c>
      <c r="C42" s="115">
        <v>-59850</v>
      </c>
      <c r="D42" s="3"/>
      <c r="E42" s="114"/>
      <c r="F42" s="115"/>
      <c r="G42" s="3"/>
      <c r="H42" s="3"/>
      <c r="I42" s="115"/>
    </row>
    <row r="43" spans="1:9" x14ac:dyDescent="0.25">
      <c r="B43" s="3"/>
      <c r="C43" s="3"/>
      <c r="D43" s="3"/>
      <c r="E43" s="114" t="s">
        <v>132</v>
      </c>
      <c r="F43" s="115">
        <v>-68000</v>
      </c>
      <c r="G43" s="3"/>
      <c r="H43" s="114" t="s">
        <v>133</v>
      </c>
      <c r="I43" s="115">
        <v>-68000</v>
      </c>
    </row>
    <row r="44" spans="1:9" x14ac:dyDescent="0.25">
      <c r="B44" s="114" t="s">
        <v>130</v>
      </c>
      <c r="C44" s="115">
        <v>-1000</v>
      </c>
      <c r="D44" s="3"/>
      <c r="E44" s="114" t="s">
        <v>133</v>
      </c>
      <c r="F44" s="115">
        <v>-26000</v>
      </c>
      <c r="G44" s="3"/>
      <c r="H44" s="114" t="s">
        <v>132</v>
      </c>
      <c r="I44" s="115">
        <v>-26000</v>
      </c>
    </row>
    <row r="45" spans="1:9" x14ac:dyDescent="0.25">
      <c r="B45" s="114" t="s">
        <v>131</v>
      </c>
      <c r="C45" s="115">
        <v>-35000</v>
      </c>
      <c r="D45" s="3"/>
      <c r="E45" s="114" t="s">
        <v>139</v>
      </c>
      <c r="F45" s="115">
        <v>-14000</v>
      </c>
      <c r="G45" s="3"/>
      <c r="H45" s="114" t="s">
        <v>131</v>
      </c>
      <c r="I45" s="115">
        <v>-14000</v>
      </c>
    </row>
    <row r="46" spans="1:9" x14ac:dyDescent="0.25">
      <c r="B46" s="114" t="s">
        <v>132</v>
      </c>
      <c r="C46" s="115">
        <v>-77000</v>
      </c>
      <c r="D46" s="3"/>
      <c r="E46" s="114" t="s">
        <v>131</v>
      </c>
      <c r="F46" s="115">
        <v>-31000</v>
      </c>
      <c r="G46" s="3"/>
      <c r="H46" s="114" t="s">
        <v>134</v>
      </c>
      <c r="I46" s="115">
        <v>-31000</v>
      </c>
    </row>
    <row r="47" spans="1:9" x14ac:dyDescent="0.25">
      <c r="B47" s="114" t="s">
        <v>133</v>
      </c>
      <c r="C47" s="115">
        <v>-28000</v>
      </c>
      <c r="D47" s="3"/>
      <c r="E47" s="3"/>
      <c r="F47" s="3"/>
      <c r="G47" s="3"/>
      <c r="H47" s="3"/>
      <c r="I47" s="3"/>
    </row>
    <row r="48" spans="1:9" x14ac:dyDescent="0.25">
      <c r="B48" s="114" t="s">
        <v>134</v>
      </c>
      <c r="C48" s="115">
        <v>-53000</v>
      </c>
      <c r="D48" s="3"/>
      <c r="E48" s="3"/>
      <c r="F48" s="3"/>
      <c r="G48" s="3"/>
      <c r="H48" s="3"/>
      <c r="I48" s="3"/>
    </row>
    <row r="49" spans="1:12" x14ac:dyDescent="0.25">
      <c r="B49" s="114"/>
      <c r="C49" s="115"/>
      <c r="D49" s="3"/>
      <c r="E49" s="3"/>
      <c r="F49" s="3"/>
      <c r="G49" s="3"/>
      <c r="H49" s="3"/>
      <c r="I49" s="3"/>
    </row>
    <row r="50" spans="1:12" x14ac:dyDescent="0.25">
      <c r="B50" s="114" t="s">
        <v>144</v>
      </c>
      <c r="C50" s="115">
        <f>-130000/3</f>
        <v>-43333.333333333336</v>
      </c>
      <c r="D50" s="3"/>
      <c r="E50" s="3"/>
      <c r="F50" s="3"/>
      <c r="G50" s="3"/>
      <c r="H50" s="3"/>
      <c r="I50" s="3"/>
    </row>
    <row r="51" spans="1:12" x14ac:dyDescent="0.25">
      <c r="B51" s="114" t="s">
        <v>136</v>
      </c>
      <c r="C51" s="115">
        <v>-50165</v>
      </c>
      <c r="D51" s="3"/>
      <c r="E51" s="3"/>
      <c r="F51" s="3"/>
      <c r="G51" s="3"/>
      <c r="H51" s="3"/>
      <c r="I51" s="3"/>
    </row>
    <row r="52" spans="1:12" x14ac:dyDescent="0.25">
      <c r="B52" s="114" t="s">
        <v>137</v>
      </c>
      <c r="C52" s="115">
        <v>-5384</v>
      </c>
      <c r="D52" s="3"/>
      <c r="E52" s="3"/>
      <c r="F52" s="3"/>
      <c r="G52" s="3"/>
      <c r="H52" s="3"/>
      <c r="I52" s="3"/>
    </row>
    <row r="53" spans="1:12" x14ac:dyDescent="0.25">
      <c r="B53" s="114" t="s">
        <v>140</v>
      </c>
      <c r="C53" s="115">
        <v>-5000</v>
      </c>
      <c r="D53" s="3"/>
      <c r="E53" s="114" t="s">
        <v>140</v>
      </c>
      <c r="F53" s="115">
        <v>-5000</v>
      </c>
      <c r="G53" s="3"/>
      <c r="H53" s="114" t="s">
        <v>140</v>
      </c>
      <c r="I53" s="115">
        <v>-5000</v>
      </c>
    </row>
    <row r="54" spans="1:12" x14ac:dyDescent="0.25">
      <c r="B54" s="114" t="s">
        <v>38</v>
      </c>
      <c r="C54" s="115">
        <v>-50000</v>
      </c>
      <c r="D54" s="3"/>
      <c r="E54" s="3"/>
      <c r="F54" s="3"/>
      <c r="G54" s="3"/>
      <c r="H54" s="3"/>
      <c r="I54" s="3"/>
    </row>
    <row r="55" spans="1:12" ht="30" x14ac:dyDescent="0.25">
      <c r="B55" s="118"/>
      <c r="C55" s="119"/>
      <c r="D55" s="70"/>
      <c r="E55" s="70"/>
      <c r="F55" s="70"/>
      <c r="G55" s="70"/>
      <c r="H55" s="70"/>
      <c r="I55" s="70"/>
      <c r="K55" s="122" t="s">
        <v>155</v>
      </c>
      <c r="L55" s="123">
        <v>850000</v>
      </c>
    </row>
    <row r="56" spans="1:12" x14ac:dyDescent="0.25">
      <c r="K56" s="124" t="s">
        <v>154</v>
      </c>
      <c r="L56" s="123">
        <f>C41-L60</f>
        <v>165019</v>
      </c>
    </row>
    <row r="57" spans="1:12" x14ac:dyDescent="0.25">
      <c r="A57" s="113" t="s">
        <v>149</v>
      </c>
      <c r="B57" s="6" t="s">
        <v>135</v>
      </c>
      <c r="C57" s="6" t="s">
        <v>138</v>
      </c>
      <c r="D57" s="6"/>
      <c r="E57" s="6" t="s">
        <v>150</v>
      </c>
      <c r="F57" s="6"/>
      <c r="G57" s="6"/>
      <c r="H57" s="6" t="s">
        <v>151</v>
      </c>
      <c r="I57" s="3"/>
      <c r="K57" s="6" t="s">
        <v>153</v>
      </c>
      <c r="L57" s="3"/>
    </row>
    <row r="58" spans="1:12" x14ac:dyDescent="0.25">
      <c r="A58" s="120"/>
      <c r="B58" s="6"/>
      <c r="C58" s="6"/>
      <c r="D58" s="6"/>
      <c r="E58" s="6"/>
      <c r="F58" s="6"/>
      <c r="G58" s="6"/>
      <c r="H58" s="6"/>
      <c r="I58" s="3"/>
      <c r="K58" s="6"/>
      <c r="L58" s="3"/>
    </row>
    <row r="59" spans="1:12" x14ac:dyDescent="0.25">
      <c r="A59" s="112" t="s">
        <v>146</v>
      </c>
      <c r="B59" s="3"/>
      <c r="C59" s="116"/>
      <c r="D59" s="3"/>
      <c r="E59" s="3"/>
      <c r="F59" s="3"/>
      <c r="G59" s="3"/>
      <c r="H59" s="3"/>
      <c r="I59" s="3"/>
      <c r="K59" s="3"/>
      <c r="L59" s="3"/>
    </row>
    <row r="60" spans="1:12" x14ac:dyDescent="0.25">
      <c r="B60" s="114" t="s">
        <v>127</v>
      </c>
      <c r="C60" s="115">
        <v>-109725</v>
      </c>
      <c r="D60" s="3"/>
      <c r="E60" s="114" t="s">
        <v>143</v>
      </c>
      <c r="F60" s="115">
        <v>-238661</v>
      </c>
      <c r="G60" s="3"/>
      <c r="H60" s="114" t="s">
        <v>145</v>
      </c>
      <c r="I60" s="121">
        <v>-238661</v>
      </c>
      <c r="K60" s="114" t="s">
        <v>145</v>
      </c>
      <c r="L60" s="121">
        <v>-238661</v>
      </c>
    </row>
    <row r="61" spans="1:12" x14ac:dyDescent="0.25">
      <c r="B61" s="114"/>
      <c r="C61" s="115"/>
      <c r="D61" s="3"/>
      <c r="E61" s="114"/>
      <c r="F61" s="115"/>
      <c r="G61" s="3"/>
      <c r="H61" s="114"/>
      <c r="I61" s="115"/>
      <c r="K61" s="114"/>
      <c r="L61" s="115"/>
    </row>
    <row r="62" spans="1:12" x14ac:dyDescent="0.25">
      <c r="B62" s="114" t="s">
        <v>129</v>
      </c>
      <c r="C62" s="115">
        <v>-59850</v>
      </c>
      <c r="D62" s="3"/>
      <c r="E62" s="114"/>
      <c r="F62" s="115"/>
      <c r="G62" s="3"/>
      <c r="H62" s="3"/>
      <c r="I62" s="115"/>
      <c r="K62" s="3"/>
      <c r="L62" s="115"/>
    </row>
    <row r="63" spans="1:12" x14ac:dyDescent="0.25">
      <c r="B63" s="3"/>
      <c r="C63" s="3"/>
      <c r="D63" s="3"/>
      <c r="E63" s="114" t="s">
        <v>132</v>
      </c>
      <c r="F63" s="115">
        <v>-68000</v>
      </c>
      <c r="G63" s="3"/>
      <c r="H63" s="114" t="s">
        <v>133</v>
      </c>
      <c r="I63" s="115">
        <v>-68000</v>
      </c>
      <c r="K63" s="114" t="s">
        <v>133</v>
      </c>
      <c r="L63" s="115">
        <v>-68000</v>
      </c>
    </row>
    <row r="64" spans="1:12" x14ac:dyDescent="0.25">
      <c r="B64" s="114" t="s">
        <v>130</v>
      </c>
      <c r="C64" s="115">
        <v>-1000</v>
      </c>
      <c r="D64" s="3"/>
      <c r="E64" s="114" t="s">
        <v>133</v>
      </c>
      <c r="F64" s="115">
        <v>-26000</v>
      </c>
      <c r="G64" s="3"/>
      <c r="H64" s="114" t="s">
        <v>132</v>
      </c>
      <c r="I64" s="115">
        <v>-26000</v>
      </c>
      <c r="K64" s="114" t="s">
        <v>132</v>
      </c>
      <c r="L64" s="115">
        <v>-26000</v>
      </c>
    </row>
    <row r="65" spans="2:12" x14ac:dyDescent="0.25">
      <c r="B65" s="114" t="s">
        <v>131</v>
      </c>
      <c r="C65" s="115">
        <f>(C$60+C$61+C$62)/(C$40+C$41+C$42)*C45</f>
        <v>-24402.591101773312</v>
      </c>
      <c r="D65" s="3"/>
      <c r="E65" s="114" t="s">
        <v>139</v>
      </c>
      <c r="F65" s="115">
        <v>-14000</v>
      </c>
      <c r="G65" s="3"/>
      <c r="H65" s="114" t="s">
        <v>131</v>
      </c>
      <c r="I65" s="115">
        <v>-14000</v>
      </c>
      <c r="K65" s="114" t="s">
        <v>131</v>
      </c>
      <c r="L65" s="115">
        <v>-14000</v>
      </c>
    </row>
    <row r="66" spans="2:12" x14ac:dyDescent="0.25">
      <c r="B66" s="114" t="s">
        <v>132</v>
      </c>
      <c r="C66" s="115">
        <f t="shared" ref="C66:C68" si="0">(C$60+C$61+C$62)/(C$40+C$41+C$42)*C46</f>
        <v>-53685.700423901289</v>
      </c>
      <c r="D66" s="3"/>
      <c r="E66" s="114" t="s">
        <v>131</v>
      </c>
      <c r="F66" s="115">
        <v>-31000</v>
      </c>
      <c r="G66" s="3"/>
      <c r="H66" s="114" t="s">
        <v>134</v>
      </c>
      <c r="I66" s="115">
        <v>-31000</v>
      </c>
      <c r="K66" s="114" t="s">
        <v>134</v>
      </c>
      <c r="L66" s="115">
        <v>-31000</v>
      </c>
    </row>
    <row r="67" spans="2:12" x14ac:dyDescent="0.25">
      <c r="B67" s="114" t="s">
        <v>133</v>
      </c>
      <c r="C67" s="115">
        <f t="shared" si="0"/>
        <v>-19522.072881418651</v>
      </c>
      <c r="D67" s="3"/>
      <c r="E67" s="3"/>
      <c r="F67" s="3"/>
      <c r="G67" s="3"/>
      <c r="H67" s="3"/>
      <c r="I67" s="3"/>
      <c r="K67" s="3"/>
      <c r="L67" s="3"/>
    </row>
    <row r="68" spans="2:12" x14ac:dyDescent="0.25">
      <c r="B68" s="114" t="s">
        <v>134</v>
      </c>
      <c r="C68" s="115">
        <f t="shared" si="0"/>
        <v>-36952.495096971019</v>
      </c>
      <c r="D68" s="3"/>
      <c r="E68" s="3"/>
      <c r="F68" s="3"/>
      <c r="G68" s="3"/>
      <c r="H68" s="3"/>
      <c r="I68" s="3"/>
      <c r="K68" s="3"/>
      <c r="L68" s="3"/>
    </row>
    <row r="69" spans="2:12" x14ac:dyDescent="0.25">
      <c r="B69" s="114"/>
      <c r="C69" s="115"/>
      <c r="D69" s="3"/>
      <c r="E69" s="3"/>
      <c r="F69" s="3"/>
      <c r="G69" s="3"/>
      <c r="H69" s="3"/>
      <c r="I69" s="3"/>
      <c r="K69" s="3"/>
      <c r="L69" s="3"/>
    </row>
    <row r="70" spans="2:12" x14ac:dyDescent="0.25">
      <c r="B70" s="114" t="s">
        <v>144</v>
      </c>
      <c r="C70" s="115">
        <f>-130000/3</f>
        <v>-43333.333333333336</v>
      </c>
      <c r="D70" s="3"/>
      <c r="E70" s="3"/>
      <c r="F70" s="3"/>
      <c r="G70" s="3"/>
      <c r="H70" s="3"/>
      <c r="I70" s="3"/>
      <c r="K70" s="3"/>
      <c r="L70" s="3"/>
    </row>
    <row r="71" spans="2:12" x14ac:dyDescent="0.25">
      <c r="B71" s="114" t="s">
        <v>136</v>
      </c>
      <c r="C71" s="115">
        <v>-50165</v>
      </c>
      <c r="D71" s="3"/>
      <c r="E71" s="3"/>
      <c r="F71" s="3"/>
      <c r="G71" s="3"/>
      <c r="H71" s="3"/>
      <c r="I71" s="3"/>
      <c r="K71" s="3"/>
      <c r="L71" s="3"/>
    </row>
    <row r="72" spans="2:12" x14ac:dyDescent="0.25">
      <c r="B72" s="114" t="s">
        <v>137</v>
      </c>
      <c r="C72" s="115">
        <v>-5384</v>
      </c>
      <c r="D72" s="3"/>
      <c r="E72" s="3"/>
      <c r="F72" s="3"/>
      <c r="G72" s="3"/>
      <c r="H72" s="3"/>
      <c r="I72" s="3"/>
      <c r="K72" s="3"/>
      <c r="L72" s="3"/>
    </row>
    <row r="73" spans="2:12" x14ac:dyDescent="0.25">
      <c r="B73" s="114" t="s">
        <v>140</v>
      </c>
      <c r="C73" s="115">
        <v>-5000</v>
      </c>
      <c r="D73" s="3"/>
      <c r="E73" s="114" t="s">
        <v>140</v>
      </c>
      <c r="F73" s="115">
        <v>-5000</v>
      </c>
      <c r="G73" s="3"/>
      <c r="H73" s="114" t="s">
        <v>140</v>
      </c>
      <c r="I73" s="115">
        <v>-5000</v>
      </c>
      <c r="K73" s="114" t="s">
        <v>140</v>
      </c>
      <c r="L73" s="115">
        <v>-5000</v>
      </c>
    </row>
    <row r="74" spans="2:12" x14ac:dyDescent="0.25">
      <c r="B74" s="114" t="s">
        <v>38</v>
      </c>
      <c r="C74" s="115">
        <v>-50000</v>
      </c>
      <c r="D74" s="3"/>
      <c r="E74" s="3"/>
      <c r="F74" s="3"/>
      <c r="G74" s="3"/>
      <c r="H74" s="3"/>
      <c r="I74" s="3"/>
      <c r="K74" s="3"/>
      <c r="L74" s="3"/>
    </row>
  </sheetData>
  <conditionalFormatting sqref="C21:C23 I21:I22 I24:I27">
    <cfRule type="cellIs" dxfId="75" priority="103" operator="greaterThan">
      <formula>0</formula>
    </cfRule>
  </conditionalFormatting>
  <conditionalFormatting sqref="C21:C23 I21:I22 I24:I27">
    <cfRule type="cellIs" dxfId="74" priority="104" operator="lessThan">
      <formula>0</formula>
    </cfRule>
  </conditionalFormatting>
  <conditionalFormatting sqref="C25:C29">
    <cfRule type="cellIs" dxfId="73" priority="101" operator="greaterThan">
      <formula>0</formula>
    </cfRule>
  </conditionalFormatting>
  <conditionalFormatting sqref="C25:C29">
    <cfRule type="cellIs" dxfId="72" priority="102" operator="lessThan">
      <formula>0</formula>
    </cfRule>
  </conditionalFormatting>
  <conditionalFormatting sqref="C31">
    <cfRule type="cellIs" dxfId="71" priority="99" operator="greaterThan">
      <formula>0</formula>
    </cfRule>
  </conditionalFormatting>
  <conditionalFormatting sqref="C31">
    <cfRule type="cellIs" dxfId="70" priority="100" operator="lessThan">
      <formula>0</formula>
    </cfRule>
  </conditionalFormatting>
  <conditionalFormatting sqref="C32:C36 C39">
    <cfRule type="cellIs" dxfId="69" priority="97" operator="greaterThan">
      <formula>0</formula>
    </cfRule>
  </conditionalFormatting>
  <conditionalFormatting sqref="C32:C36 C39">
    <cfRule type="cellIs" dxfId="68" priority="98" operator="lessThan">
      <formula>0</formula>
    </cfRule>
  </conditionalFormatting>
  <conditionalFormatting sqref="C33">
    <cfRule type="cellIs" dxfId="67" priority="95" operator="greaterThan">
      <formula>0</formula>
    </cfRule>
  </conditionalFormatting>
  <conditionalFormatting sqref="C33">
    <cfRule type="cellIs" dxfId="66" priority="96" operator="lessThan">
      <formula>0</formula>
    </cfRule>
  </conditionalFormatting>
  <conditionalFormatting sqref="F21:F27">
    <cfRule type="cellIs" dxfId="65" priority="93" operator="greaterThan">
      <formula>0</formula>
    </cfRule>
  </conditionalFormatting>
  <conditionalFormatting sqref="F21:F27">
    <cfRule type="cellIs" dxfId="64" priority="94" operator="lessThan">
      <formula>0</formula>
    </cfRule>
  </conditionalFormatting>
  <conditionalFormatting sqref="F33">
    <cfRule type="cellIs" dxfId="63" priority="91" operator="greaterThan">
      <formula>0</formula>
    </cfRule>
  </conditionalFormatting>
  <conditionalFormatting sqref="F33">
    <cfRule type="cellIs" dxfId="62" priority="92" operator="lessThan">
      <formula>0</formula>
    </cfRule>
  </conditionalFormatting>
  <conditionalFormatting sqref="F33">
    <cfRule type="cellIs" dxfId="61" priority="89" operator="greaterThan">
      <formula>0</formula>
    </cfRule>
  </conditionalFormatting>
  <conditionalFormatting sqref="F33">
    <cfRule type="cellIs" dxfId="60" priority="90" operator="lessThan">
      <formula>0</formula>
    </cfRule>
  </conditionalFormatting>
  <conditionalFormatting sqref="I33">
    <cfRule type="cellIs" dxfId="59" priority="85" operator="greaterThan">
      <formula>0</formula>
    </cfRule>
  </conditionalFormatting>
  <conditionalFormatting sqref="I33">
    <cfRule type="cellIs" dxfId="58" priority="86" operator="lessThan">
      <formula>0</formula>
    </cfRule>
  </conditionalFormatting>
  <conditionalFormatting sqref="I33">
    <cfRule type="cellIs" dxfId="57" priority="83" operator="greaterThan">
      <formula>0</formula>
    </cfRule>
  </conditionalFormatting>
  <conditionalFormatting sqref="I33">
    <cfRule type="cellIs" dxfId="56" priority="84" operator="lessThan">
      <formula>0</formula>
    </cfRule>
  </conditionalFormatting>
  <conditionalFormatting sqref="C40:C42">
    <cfRule type="cellIs" dxfId="55" priority="81" operator="greaterThan">
      <formula>0</formula>
    </cfRule>
  </conditionalFormatting>
  <conditionalFormatting sqref="C40:C42">
    <cfRule type="cellIs" dxfId="54" priority="82" operator="lessThan">
      <formula>0</formula>
    </cfRule>
  </conditionalFormatting>
  <conditionalFormatting sqref="C44:C49">
    <cfRule type="cellIs" dxfId="53" priority="79" operator="greaterThan">
      <formula>0</formula>
    </cfRule>
  </conditionalFormatting>
  <conditionalFormatting sqref="C44:C49">
    <cfRule type="cellIs" dxfId="52" priority="80" operator="lessThan">
      <formula>0</formula>
    </cfRule>
  </conditionalFormatting>
  <conditionalFormatting sqref="C51">
    <cfRule type="cellIs" dxfId="51" priority="77" operator="greaterThan">
      <formula>0</formula>
    </cfRule>
  </conditionalFormatting>
  <conditionalFormatting sqref="C51">
    <cfRule type="cellIs" dxfId="50" priority="78" operator="lessThan">
      <formula>0</formula>
    </cfRule>
  </conditionalFormatting>
  <conditionalFormatting sqref="C52:C55">
    <cfRule type="cellIs" dxfId="49" priority="75" operator="greaterThan">
      <formula>0</formula>
    </cfRule>
  </conditionalFormatting>
  <conditionalFormatting sqref="C52:C55">
    <cfRule type="cellIs" dxfId="48" priority="76" operator="lessThan">
      <formula>0</formula>
    </cfRule>
  </conditionalFormatting>
  <conditionalFormatting sqref="C53">
    <cfRule type="cellIs" dxfId="47" priority="73" operator="greaterThan">
      <formula>0</formula>
    </cfRule>
  </conditionalFormatting>
  <conditionalFormatting sqref="C53">
    <cfRule type="cellIs" dxfId="46" priority="74" operator="lessThan">
      <formula>0</formula>
    </cfRule>
  </conditionalFormatting>
  <conditionalFormatting sqref="F40:F46">
    <cfRule type="cellIs" dxfId="45" priority="71" operator="greaterThan">
      <formula>0</formula>
    </cfRule>
  </conditionalFormatting>
  <conditionalFormatting sqref="F40:F46">
    <cfRule type="cellIs" dxfId="44" priority="72" operator="lessThan">
      <formula>0</formula>
    </cfRule>
  </conditionalFormatting>
  <conditionalFormatting sqref="F53">
    <cfRule type="cellIs" dxfId="43" priority="69" operator="greaterThan">
      <formula>0</formula>
    </cfRule>
  </conditionalFormatting>
  <conditionalFormatting sqref="F53">
    <cfRule type="cellIs" dxfId="42" priority="70" operator="lessThan">
      <formula>0</formula>
    </cfRule>
  </conditionalFormatting>
  <conditionalFormatting sqref="F53">
    <cfRule type="cellIs" dxfId="41" priority="67" operator="greaterThan">
      <formula>0</formula>
    </cfRule>
  </conditionalFormatting>
  <conditionalFormatting sqref="F53">
    <cfRule type="cellIs" dxfId="40" priority="68" operator="lessThan">
      <formula>0</formula>
    </cfRule>
  </conditionalFormatting>
  <conditionalFormatting sqref="I53">
    <cfRule type="cellIs" dxfId="39" priority="65" operator="greaterThan">
      <formula>0</formula>
    </cfRule>
  </conditionalFormatting>
  <conditionalFormatting sqref="I53">
    <cfRule type="cellIs" dxfId="38" priority="66" operator="lessThan">
      <formula>0</formula>
    </cfRule>
  </conditionalFormatting>
  <conditionalFormatting sqref="I53">
    <cfRule type="cellIs" dxfId="37" priority="63" operator="greaterThan">
      <formula>0</formula>
    </cfRule>
  </conditionalFormatting>
  <conditionalFormatting sqref="I53">
    <cfRule type="cellIs" dxfId="36" priority="64" operator="lessThan">
      <formula>0</formula>
    </cfRule>
  </conditionalFormatting>
  <conditionalFormatting sqref="C50">
    <cfRule type="cellIs" dxfId="35" priority="61" operator="greaterThan">
      <formula>0</formula>
    </cfRule>
  </conditionalFormatting>
  <conditionalFormatting sqref="C50">
    <cfRule type="cellIs" dxfId="34" priority="62" operator="lessThan">
      <formula>0</formula>
    </cfRule>
  </conditionalFormatting>
  <conditionalFormatting sqref="I40:I46">
    <cfRule type="cellIs" dxfId="33" priority="59" operator="greaterThan">
      <formula>0</formula>
    </cfRule>
  </conditionalFormatting>
  <conditionalFormatting sqref="I40:I46">
    <cfRule type="cellIs" dxfId="32" priority="60" operator="lessThan">
      <formula>0</formula>
    </cfRule>
  </conditionalFormatting>
  <conditionalFormatting sqref="C59">
    <cfRule type="cellIs" dxfId="31" priority="31" operator="greaterThan">
      <formula>0</formula>
    </cfRule>
  </conditionalFormatting>
  <conditionalFormatting sqref="C59">
    <cfRule type="cellIs" dxfId="30" priority="32" operator="lessThan">
      <formula>0</formula>
    </cfRule>
  </conditionalFormatting>
  <conditionalFormatting sqref="C60:C62">
    <cfRule type="cellIs" dxfId="29" priority="29" operator="greaterThan">
      <formula>0</formula>
    </cfRule>
  </conditionalFormatting>
  <conditionalFormatting sqref="C60:C62">
    <cfRule type="cellIs" dxfId="28" priority="30" operator="lessThan">
      <formula>0</formula>
    </cfRule>
  </conditionalFormatting>
  <conditionalFormatting sqref="C64:C69">
    <cfRule type="cellIs" dxfId="27" priority="27" operator="greaterThan">
      <formula>0</formula>
    </cfRule>
  </conditionalFormatting>
  <conditionalFormatting sqref="C64:C69">
    <cfRule type="cellIs" dxfId="26" priority="28" operator="lessThan">
      <formula>0</formula>
    </cfRule>
  </conditionalFormatting>
  <conditionalFormatting sqref="C71">
    <cfRule type="cellIs" dxfId="25" priority="25" operator="greaterThan">
      <formula>0</formula>
    </cfRule>
  </conditionalFormatting>
  <conditionalFormatting sqref="C71">
    <cfRule type="cellIs" dxfId="24" priority="26" operator="lessThan">
      <formula>0</formula>
    </cfRule>
  </conditionalFormatting>
  <conditionalFormatting sqref="C72:C74">
    <cfRule type="cellIs" dxfId="23" priority="23" operator="greaterThan">
      <formula>0</formula>
    </cfRule>
  </conditionalFormatting>
  <conditionalFormatting sqref="C72:C74">
    <cfRule type="cellIs" dxfId="22" priority="24" operator="lessThan">
      <formula>0</formula>
    </cfRule>
  </conditionalFormatting>
  <conditionalFormatting sqref="C73">
    <cfRule type="cellIs" dxfId="21" priority="21" operator="greaterThan">
      <formula>0</formula>
    </cfRule>
  </conditionalFormatting>
  <conditionalFormatting sqref="C73">
    <cfRule type="cellIs" dxfId="20" priority="22" operator="lessThan">
      <formula>0</formula>
    </cfRule>
  </conditionalFormatting>
  <conditionalFormatting sqref="F60:F66">
    <cfRule type="cellIs" dxfId="19" priority="19" operator="greaterThan">
      <formula>0</formula>
    </cfRule>
  </conditionalFormatting>
  <conditionalFormatting sqref="F60:F66">
    <cfRule type="cellIs" dxfId="18" priority="20" operator="lessThan">
      <formula>0</formula>
    </cfRule>
  </conditionalFormatting>
  <conditionalFormatting sqref="F73">
    <cfRule type="cellIs" dxfId="17" priority="17" operator="greaterThan">
      <formula>0</formula>
    </cfRule>
  </conditionalFormatting>
  <conditionalFormatting sqref="F73">
    <cfRule type="cellIs" dxfId="16" priority="18" operator="lessThan">
      <formula>0</formula>
    </cfRule>
  </conditionalFormatting>
  <conditionalFormatting sqref="F73">
    <cfRule type="cellIs" dxfId="15" priority="15" operator="greaterThan">
      <formula>0</formula>
    </cfRule>
  </conditionalFormatting>
  <conditionalFormatting sqref="F73">
    <cfRule type="cellIs" dxfId="14" priority="16" operator="lessThan">
      <formula>0</formula>
    </cfRule>
  </conditionalFormatting>
  <conditionalFormatting sqref="I73">
    <cfRule type="cellIs" dxfId="13" priority="13" operator="greaterThan">
      <formula>0</formula>
    </cfRule>
  </conditionalFormatting>
  <conditionalFormatting sqref="I73">
    <cfRule type="cellIs" dxfId="12" priority="14" operator="lessThan">
      <formula>0</formula>
    </cfRule>
  </conditionalFormatting>
  <conditionalFormatting sqref="I73">
    <cfRule type="cellIs" dxfId="11" priority="11" operator="greaterThan">
      <formula>0</formula>
    </cfRule>
  </conditionalFormatting>
  <conditionalFormatting sqref="I73">
    <cfRule type="cellIs" dxfId="10" priority="12" operator="lessThan">
      <formula>0</formula>
    </cfRule>
  </conditionalFormatting>
  <conditionalFormatting sqref="C70">
    <cfRule type="cellIs" dxfId="9" priority="9" operator="greaterThan">
      <formula>0</formula>
    </cfRule>
  </conditionalFormatting>
  <conditionalFormatting sqref="C70">
    <cfRule type="cellIs" dxfId="8" priority="10" operator="lessThan">
      <formula>0</formula>
    </cfRule>
  </conditionalFormatting>
  <conditionalFormatting sqref="I60:I66">
    <cfRule type="cellIs" dxfId="7" priority="7" operator="greaterThan">
      <formula>0</formula>
    </cfRule>
  </conditionalFormatting>
  <conditionalFormatting sqref="I60:I66">
    <cfRule type="cellIs" dxfId="6" priority="8" operator="lessThan">
      <formula>0</formula>
    </cfRule>
  </conditionalFormatting>
  <conditionalFormatting sqref="L73">
    <cfRule type="cellIs" dxfId="5" priority="5" operator="greaterThan">
      <formula>0</formula>
    </cfRule>
  </conditionalFormatting>
  <conditionalFormatting sqref="L73">
    <cfRule type="cellIs" dxfId="4" priority="6" operator="lessThan">
      <formula>0</formula>
    </cfRule>
  </conditionalFormatting>
  <conditionalFormatting sqref="L73">
    <cfRule type="cellIs" dxfId="3" priority="3" operator="greaterThan">
      <formula>0</formula>
    </cfRule>
  </conditionalFormatting>
  <conditionalFormatting sqref="L73">
    <cfRule type="cellIs" dxfId="2" priority="4" operator="lessThan">
      <formula>0</formula>
    </cfRule>
  </conditionalFormatting>
  <conditionalFormatting sqref="L60:L66">
    <cfRule type="cellIs" dxfId="1" priority="1" operator="greaterThan">
      <formula>0</formula>
    </cfRule>
  </conditionalFormatting>
  <conditionalFormatting sqref="L60:L66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2015</vt:lpstr>
      <vt:lpstr>2016</vt:lpstr>
      <vt:lpstr>2017-PÜ</vt:lpstr>
      <vt:lpstr>2018-PÜ</vt:lpstr>
      <vt:lpstr>2017-11 - 2018-04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sodi</dc:creator>
  <cp:lastModifiedBy>Gergely Sóskuti Varga</cp:lastModifiedBy>
  <cp:lastPrinted>2016-04-22T06:59:34Z</cp:lastPrinted>
  <dcterms:created xsi:type="dcterms:W3CDTF">2015-05-27T04:32:20Z</dcterms:created>
  <dcterms:modified xsi:type="dcterms:W3CDTF">2018-05-08T09:55:31Z</dcterms:modified>
</cp:coreProperties>
</file>